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Default Extension="jpe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drawings/vmlDrawing1.vml" ContentType="application/vnd.openxmlformats-officedocument.vmlDrawing"/>
  <Override PartName="/xl/comments1.xml" ContentType="application/vnd.openxmlformats-officedocument.spreadsheetml.comment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docProps/app.xml" ContentType="application/vnd.openxmlformats-officedocument.extended-properties+xml"/>
  <Override PartName="/docProps/core.xml" ContentType="application/vnd.openxmlformats-package.core-propertie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officeDocument/2006/relationships/extended-properties" Target="docProps/app.xml"/><Relationship Id="rId3" Type="http://schemas.openxmlformats.org/package/2006/relationships/metadata/core-properties" Target="docProps/core.xml"/></Relationships>
</file>

<file path=xl/workbook.xml><?xml version="1.0" encoding="utf-8"?>
<workbook xmlns:r="http://schemas.openxmlformats.org/officeDocument/2006/relationships" xmlns="http://schemas.openxmlformats.org/spreadsheetml/2006/main">
  <fileVersion appName="xl" lastEdited="7" lowestEdited="7" rupBuild="23328"/>
  <workbookPr defaultThemeVersion="153222"/>
  <bookViews>
    <workbookView xWindow="0" yWindow="0" windowWidth="8310" windowHeight="8760" activeTab="0" tabRatio="805"/>
  </bookViews>
  <sheets>
    <sheet name="Calculadora" sheetId="1" r:id="rId1"/>
    <sheet name="Pins{320}" sheetId="2" r:id="rId2"/>
    <sheet name="Ice Spa" sheetId="3" r:id="rId3"/>
    <sheet name="Abbot Mine" sheetId="4" r:id="rId4"/>
    <sheet name="Wind Hill" sheetId="5" r:id="rId5" state="hidden"/>
    <sheet name="CC" sheetId="6" r:id="rId6"/>
    <sheet name="DUNK_1W" sheetId="7" r:id="rId7" state="hidden"/>
    <sheet name="SpeciaL_Holes" sheetId="8" r:id="rId8" state="hidden"/>
    <sheet name="Caliper" sheetId="9" r:id="rId9" state="hidden"/>
    <sheet name="6I" sheetId="10" r:id="rId10" state="hidden"/>
  </sheets>
  <definedNames>
    <definedName name="TERRENOD">NA()</definedName>
    <definedName name="TERRENOTB">NA()</definedName>
    <definedName name="V">NA()</definedName>
  </definedNames>
</workbook>
</file>

<file path=xl/comments1.xml><?xml version="1.0" encoding="utf-8"?>
<comments xmlns="http://schemas.openxmlformats.org/spreadsheetml/2006/main">
  <authors>
    <author>DELL</author>
  </authors>
  <commentList>
    <comment ref="B31" authorId="0">
      <text>
        <r>
          <rPr>
            <b/>
            <sz val="10"/>
            <color indexed="81"/>
            <rFont val="Tahoma"/>
            <family val="2"/>
          </rPr>
          <t xml:space="preserve">ระบบ Pixel = 3.6-4.0
ระบบหยัก = 1.00</t>
        </r>
      </text>
    </comment>
    <comment ref="B38" authorId="0">
      <text>
        <r>
          <rPr>
            <b/>
            <sz val="10"/>
            <color indexed="81"/>
            <rFont val="Tahoma"/>
            <family val="2"/>
          </rPr>
          <t xml:space="preserve">ระบบ Pixel = 3.6-4.0
ระบบหยัก = 1.00</t>
        </r>
      </text>
    </comment>
  </commentList>
</comments>
</file>

<file path=xl/sharedStrings.xml><?xml version="1.0" encoding="utf-8"?>
<sst xmlns="http://schemas.openxmlformats.org/spreadsheetml/2006/main" uniqueCount="478" count="478">
  <si>
    <t>VF</t>
  </si>
  <si>
    <t>VB</t>
  </si>
  <si>
    <t>PB</t>
  </si>
  <si>
    <t>%</t>
  </si>
  <si>
    <t>Beam 6i</t>
  </si>
  <si>
    <t>Cos</t>
  </si>
  <si>
    <t>1w Toma</t>
  </si>
  <si>
    <t>H+</t>
  </si>
  <si>
    <t>H -</t>
  </si>
  <si>
    <t>Inf H+</t>
  </si>
  <si>
    <t>Inf H -</t>
  </si>
  <si>
    <t>Dist+Terre.</t>
  </si>
  <si>
    <t>H+ F</t>
  </si>
  <si>
    <t>H-</t>
  </si>
  <si>
    <t>INF</t>
  </si>
  <si>
    <t>H</t>
  </si>
  <si>
    <t>H- F</t>
  </si>
  <si>
    <t>Normal</t>
  </si>
  <si>
    <t>SPIN</t>
  </si>
  <si>
    <t>Spin</t>
  </si>
  <si>
    <t>1w BS</t>
  </si>
  <si>
    <t>2w Toma</t>
  </si>
  <si>
    <t>3w Toma</t>
  </si>
  <si>
    <t>1w Spike</t>
  </si>
  <si>
    <t>Caliper</t>
  </si>
  <si>
    <t>BS</t>
  </si>
  <si>
    <t>TOMA</t>
  </si>
  <si>
    <t>Lolo</t>
  </si>
  <si>
    <t>1PS</t>
  </si>
  <si>
    <t>2PS</t>
  </si>
  <si>
    <t>ระยะ</t>
  </si>
  <si>
    <t>1PS+30SPIN</t>
  </si>
  <si>
    <t>2PS+30SPIN</t>
  </si>
  <si>
    <t>H6</t>
  </si>
  <si>
    <t>H8</t>
  </si>
  <si>
    <t>H10</t>
  </si>
  <si>
    <t>**</t>
  </si>
  <si>
    <t>Abbot Mine</t>
  </si>
  <si>
    <t>H2</t>
  </si>
  <si>
    <t>H15</t>
  </si>
  <si>
    <t>H16</t>
  </si>
  <si>
    <t>****</t>
  </si>
  <si>
    <t>Ice Inferno</t>
  </si>
  <si>
    <t>H4</t>
  </si>
  <si>
    <t>H5</t>
  </si>
  <si>
    <t>H9</t>
  </si>
  <si>
    <t>H11</t>
  </si>
  <si>
    <t>1W</t>
  </si>
  <si>
    <t>2W</t>
  </si>
  <si>
    <t>3W</t>
  </si>
  <si>
    <t>2I</t>
  </si>
  <si>
    <t>3I</t>
  </si>
  <si>
    <t>4I</t>
  </si>
  <si>
    <t>5I</t>
  </si>
  <si>
    <t>6I</t>
  </si>
  <si>
    <t>7I</t>
  </si>
  <si>
    <t>8I</t>
  </si>
  <si>
    <t>9I</t>
  </si>
  <si>
    <t>1 Ps</t>
  </si>
  <si>
    <t>2 Ps</t>
  </si>
  <si>
    <t>H12</t>
  </si>
  <si>
    <t>H14</t>
  </si>
  <si>
    <t>H17</t>
  </si>
  <si>
    <t>H7</t>
  </si>
  <si>
    <t>H13</t>
  </si>
  <si>
    <t>H3</t>
  </si>
  <si>
    <t>FRONT</t>
  </si>
  <si>
    <t>BACK</t>
  </si>
  <si>
    <t>1차</t>
  </si>
  <si>
    <t>2차</t>
  </si>
  <si>
    <t>3차</t>
  </si>
  <si>
    <t>4차(최종)</t>
  </si>
  <si>
    <t>5차</t>
  </si>
  <si>
    <t>Dunk</t>
  </si>
  <si>
    <t xml:space="preserve">H+F </t>
  </si>
  <si>
    <t>COS</t>
  </si>
  <si>
    <t>SIN</t>
  </si>
  <si>
    <t>C</t>
  </si>
  <si>
    <t>ตัวแบ่ง</t>
  </si>
  <si>
    <t>ตัวแบ่ง(1+)</t>
  </si>
  <si>
    <t>Cos*W</t>
  </si>
  <si>
    <t>Sin*W</t>
  </si>
  <si>
    <t>Silvia Cannon</t>
  </si>
  <si>
    <t>거리에따른기울기%</t>
  </si>
  <si>
    <t>pi-pin</t>
  </si>
  <si>
    <t>รวม</t>
  </si>
  <si>
    <t>Pin</t>
  </si>
  <si>
    <t>Hwi * sin * wind</t>
  </si>
  <si>
    <t xml:space="preserve">C * INF </t>
  </si>
  <si>
    <t>C wind (+)</t>
  </si>
  <si>
    <t>C wind (-)</t>
  </si>
  <si>
    <t>H+ H-</t>
  </si>
  <si>
    <t>พื้นที่แท้จริง</t>
  </si>
  <si>
    <t>Wind</t>
  </si>
  <si>
    <t>Wind Effect</t>
  </si>
  <si>
    <t>Calliper</t>
  </si>
  <si>
    <t>Pin %</t>
  </si>
  <si>
    <t>Wind Effect (+)</t>
  </si>
  <si>
    <t>Wind Effect (-)</t>
  </si>
  <si>
    <t>% Wind (+)</t>
  </si>
  <si>
    <t>% Wind (-)</t>
  </si>
  <si>
    <t>WF</t>
  </si>
  <si>
    <t>WB</t>
  </si>
  <si>
    <t xml:space="preserve">Pin final Wind(+) </t>
  </si>
  <si>
    <t xml:space="preserve">Pin final Wind(-) </t>
  </si>
  <si>
    <t>Slope</t>
  </si>
  <si>
    <t>Dist+พื้น</t>
  </si>
  <si>
    <t>พื้น Dunk</t>
  </si>
  <si>
    <t>พื้น Toma</t>
  </si>
  <si>
    <t>พื้น BS</t>
  </si>
  <si>
    <t>% พื้น =</t>
  </si>
  <si>
    <t>C 1st</t>
  </si>
  <si>
    <t>C 2nd</t>
  </si>
  <si>
    <t>C 3RD</t>
  </si>
  <si>
    <t xml:space="preserve">Pin </t>
  </si>
  <si>
    <t xml:space="preserve">Pin % </t>
  </si>
  <si>
    <t>C 4th</t>
  </si>
  <si>
    <t>H1</t>
  </si>
  <si>
    <t>H18</t>
  </si>
  <si>
    <t>normal</t>
  </si>
  <si>
    <t>1PS 30SP</t>
  </si>
  <si>
    <t>พื้น</t>
  </si>
  <si>
    <t>Toma</t>
  </si>
  <si>
    <t>Real Slope</t>
  </si>
  <si>
    <t>Total</t>
  </si>
  <si>
    <t>Power</t>
  </si>
  <si>
    <t>Distance</t>
  </si>
  <si>
    <t>Dunk 1w</t>
  </si>
  <si>
    <t>Dunk 2w</t>
  </si>
  <si>
    <t>Dunk 3w</t>
  </si>
  <si>
    <t>Height</t>
  </si>
  <si>
    <t>Toma 2w</t>
  </si>
  <si>
    <t>Toma 3w</t>
  </si>
  <si>
    <t>Calibrador</t>
  </si>
  <si>
    <t>Presented by : mychopperexcel.blogspot.com</t>
  </si>
  <si>
    <t>6i beam</t>
  </si>
  <si>
    <t>Elevation</t>
  </si>
  <si>
    <t>Angle</t>
  </si>
  <si>
    <t>แถวสีขาว คือ แถวที่มีพินจากการไล่ค่าพินเอง</t>
  </si>
  <si>
    <t>ช่องสีเขียวคือค่าคงที่ๆ จะบวกเพิ่มเข้าไปกับ Base Pin ในคอลัมน์นั้นๆ</t>
  </si>
  <si>
    <t>Terrain</t>
  </si>
  <si>
    <t>%พื้น</t>
  </si>
  <si>
    <t>เพิ่มแรง x</t>
  </si>
  <si>
    <t>เพิ่มแรง</t>
  </si>
  <si>
    <t>แถวสีชมพูอ่อน คือ แถวที่มีพินที่ได้จากการคำนวน</t>
  </si>
  <si>
    <t>140 - 144 หมายถึง ผลต่างพินระหว่างไม้ 140 กับ 144</t>
  </si>
  <si>
    <t>Breaks</t>
  </si>
  <si>
    <t>Base Pin</t>
  </si>
  <si>
    <t>POWER</t>
  </si>
  <si>
    <t>% แรงตี</t>
  </si>
  <si>
    <t>PIN</t>
  </si>
  <si>
    <t>140 - 144</t>
  </si>
  <si>
    <t>144 - 148</t>
  </si>
  <si>
    <t>152 - 156</t>
  </si>
  <si>
    <t>%แรงตี</t>
  </si>
  <si>
    <t>คิดลาย</t>
  </si>
  <si>
    <t>คิดแรง</t>
  </si>
  <si>
    <t>LOOKUP</t>
  </si>
  <si>
    <t>ส่งค่าไปช่อง G18</t>
  </si>
  <si>
    <t>ส่งค่าไปช่อง U18</t>
  </si>
  <si>
    <t>ค่าคอสลม สำหรับลมต้านเท่านั้น</t>
  </si>
  <si>
    <t>ระยะ 6I</t>
  </si>
  <si>
    <t>cos ลม</t>
  </si>
  <si>
    <t>ลาย C</t>
  </si>
  <si>
    <t>ส่งค่าไปช่อง</t>
  </si>
  <si>
    <t>F18</t>
  </si>
  <si>
    <t>G17</t>
  </si>
  <si>
    <t>T18</t>
  </si>
  <si>
    <t>U17</t>
  </si>
  <si>
    <t>&lt;&lt;&lt;</t>
  </si>
  <si>
    <t>&gt;&gt;&gt;</t>
  </si>
  <si>
    <t>*</t>
  </si>
  <si>
    <t>Blue Lagoon</t>
  </si>
  <si>
    <t>Lost Seaway</t>
  </si>
  <si>
    <t>Ice Spa</t>
  </si>
  <si>
    <t>Pink Wind</t>
  </si>
  <si>
    <t>West Wiz</t>
  </si>
  <si>
    <t>Ice Cannon</t>
  </si>
  <si>
    <t>Wiz City</t>
  </si>
  <si>
    <t>Eastern Valley</t>
  </si>
  <si>
    <t>Shining Sand</t>
  </si>
  <si>
    <t>***</t>
  </si>
  <si>
    <t>Sepia Wind</t>
  </si>
  <si>
    <t>Blue Water</t>
  </si>
  <si>
    <t>Blue Moon</t>
  </si>
  <si>
    <t>White Wiz</t>
  </si>
  <si>
    <t>Wiz Wiz</t>
  </si>
  <si>
    <t>*****</t>
  </si>
  <si>
    <t>Deep Inferno</t>
  </si>
  <si>
    <t>Wind Hill</t>
  </si>
  <si>
    <t>องศาต่าง</t>
  </si>
  <si>
    <r>
      <t>T</t>
    </r>
    <r>
      <rPr>
        <b/>
        <sz val="10"/>
        <color indexed="9"/>
        <rFont val="Tahoma"/>
      </rPr>
      <t>oma 1w</t>
    </r>
  </si>
  <si>
    <t>PB/4</t>
  </si>
  <si>
    <r>
      <t>S</t>
    </r>
    <r>
      <rPr>
        <b/>
        <sz val="10"/>
        <color indexed="9"/>
        <rFont val="Tahoma"/>
      </rPr>
      <t>pike 1w</t>
    </r>
  </si>
  <si>
    <t>% Power</t>
  </si>
  <si>
    <t>1w Dunk</t>
  </si>
  <si>
    <t>Terreno Dunk</t>
  </si>
  <si>
    <t>B1</t>
  </si>
  <si>
    <t>Sin</t>
  </si>
  <si>
    <t>B2</t>
  </si>
  <si>
    <t>B3</t>
  </si>
  <si>
    <t>B4</t>
  </si>
  <si>
    <t>B5</t>
  </si>
  <si>
    <t>B6</t>
  </si>
  <si>
    <t>B7</t>
  </si>
  <si>
    <t>% Terreno =</t>
  </si>
  <si>
    <t>INF 1</t>
  </si>
  <si>
    <t>INF 2</t>
  </si>
  <si>
    <t>Constant</t>
  </si>
  <si>
    <t>ตัวแบ่ง H+</t>
  </si>
  <si>
    <t>ผลลัพธ์</t>
  </si>
  <si>
    <t>ตัวแบ่ง H-</t>
  </si>
  <si>
    <t>Wind F</t>
  </si>
  <si>
    <t>100 - 92.5</t>
  </si>
  <si>
    <t>90 - 60</t>
  </si>
  <si>
    <t>70 - 40</t>
  </si>
  <si>
    <t>50 - 20</t>
  </si>
  <si>
    <t>30 - 0</t>
  </si>
  <si>
    <t>Wind B</t>
  </si>
  <si>
    <r>
      <t>T</t>
    </r>
    <r>
      <rPr>
        <b/>
        <sz val="10"/>
        <color indexed="9"/>
        <rFont val="Tahoma"/>
      </rPr>
      <t>oma.30</t>
    </r>
  </si>
  <si>
    <t>คิดเอียงตามมุม</t>
  </si>
  <si>
    <t>ตัวปรับค่า</t>
  </si>
  <si>
    <t>H- base</t>
  </si>
  <si>
    <t>พื้นเรียบ</t>
  </si>
  <si>
    <t>382.66 L</t>
  </si>
  <si>
    <t>382.57 R</t>
  </si>
  <si>
    <t>376.60 L</t>
  </si>
  <si>
    <t>376.58 R</t>
  </si>
  <si>
    <t>ขวายก</t>
  </si>
  <si>
    <t>211.65 R</t>
  </si>
  <si>
    <t>212.00 L</t>
  </si>
  <si>
    <t>372.53 L</t>
  </si>
  <si>
    <t>373.43 R</t>
  </si>
  <si>
    <t>386.94 L</t>
  </si>
  <si>
    <t>386.63 R</t>
  </si>
  <si>
    <t>236.72 L</t>
  </si>
  <si>
    <t>237.32 R</t>
  </si>
  <si>
    <t>220.89 L</t>
  </si>
  <si>
    <t>220.94 R</t>
  </si>
  <si>
    <t>417.6 L</t>
  </si>
  <si>
    <t>418.14 R</t>
  </si>
  <si>
    <t>208.68 L</t>
  </si>
  <si>
    <t>209.04 R</t>
  </si>
  <si>
    <t>1*</t>
  </si>
  <si>
    <t>2*</t>
  </si>
  <si>
    <t>3*</t>
  </si>
  <si>
    <t>4* &amp; 5*</t>
  </si>
  <si>
    <t>X1 - X307</t>
  </si>
  <si>
    <t>ตัวแบ่ง H+ พินสูง</t>
  </si>
  <si>
    <t>ตัวแบ่ง H+ พินต่ำ</t>
  </si>
  <si>
    <t>ตัวแบ่ง H- พินสูง</t>
  </si>
  <si>
    <t>ตัวแบ่ง H- พินต่ำ</t>
  </si>
  <si>
    <t>%Power</t>
  </si>
  <si>
    <t>1w 1ps 30</t>
  </si>
  <si>
    <t>Dunk 1ps.30</t>
  </si>
  <si>
    <t>1w 30SPIN</t>
  </si>
  <si>
    <t>Q.Real Ball</t>
  </si>
  <si>
    <t>INF H-</t>
  </si>
  <si>
    <t>Dist.</t>
  </si>
  <si>
    <t>2I Toma</t>
  </si>
  <si>
    <t>Força</t>
  </si>
  <si>
    <t>1w Backspin</t>
  </si>
  <si>
    <t>Power Spike Backspin 30</t>
  </si>
  <si>
    <t>Pink Wind Hole 4</t>
  </si>
  <si>
    <t>Pink Wind Hole 1 - 338y</t>
  </si>
  <si>
    <t>Sepia Wind Hole 14 - 354y</t>
  </si>
  <si>
    <t>West Wiz Hole 11 - 345y</t>
  </si>
  <si>
    <t>Eastern Valley Hole 18</t>
  </si>
  <si>
    <t>Spike Backspin 30</t>
  </si>
  <si>
    <t>Pin Real</t>
  </si>
  <si>
    <t>Cos VF</t>
  </si>
  <si>
    <t>Cos VB</t>
  </si>
  <si>
    <t>Front</t>
  </si>
  <si>
    <t>Back</t>
  </si>
  <si>
    <t>B8</t>
  </si>
  <si>
    <t>Spike 2PS</t>
  </si>
  <si>
    <t>Caliper F/B</t>
  </si>
  <si>
    <t>Slope (PB)</t>
  </si>
  <si>
    <t>แรงขวาง</t>
  </si>
  <si>
    <t>ค่าคอสลม</t>
  </si>
  <si>
    <t>คอสรวม</t>
  </si>
  <si>
    <t>1w</t>
  </si>
  <si>
    <t>1w 1ps</t>
  </si>
  <si>
    <t>1w 2ps</t>
  </si>
  <si>
    <t>Spike 1PS</t>
  </si>
  <si>
    <t>แรงรวม</t>
  </si>
  <si>
    <t>Pin Ref.</t>
  </si>
  <si>
    <t>Hwi</t>
  </si>
  <si>
    <t>Hwi Total</t>
  </si>
  <si>
    <t>West Wiz H11 - 345y</t>
  </si>
  <si>
    <t>West Wiz H18 - 332y/341y</t>
  </si>
  <si>
    <t>f 62.03</t>
  </si>
  <si>
    <t>b 75.97</t>
  </si>
  <si>
    <t>f 45.00</t>
  </si>
  <si>
    <t>f 14.43</t>
  </si>
  <si>
    <t>b 38.42</t>
  </si>
  <si>
    <t>b 7.5</t>
  </si>
  <si>
    <t>f 82.51</t>
  </si>
  <si>
    <t>b 45.00</t>
  </si>
  <si>
    <t>b 71.08</t>
  </si>
  <si>
    <t>f 77.48</t>
  </si>
  <si>
    <t>f 22.39</t>
  </si>
  <si>
    <t>f 38.42</t>
  </si>
  <si>
    <t>b 58.0</t>
  </si>
  <si>
    <t>f 35.0</t>
  </si>
  <si>
    <t>f 66.81</t>
  </si>
  <si>
    <t>b 1.50</t>
  </si>
  <si>
    <t>f 72.08</t>
  </si>
  <si>
    <t>f 11.01</t>
  </si>
  <si>
    <t>b 31.51</t>
  </si>
  <si>
    <t>f 41.64</t>
  </si>
  <si>
    <t>100 - 80</t>
  </si>
  <si>
    <t>30 SPIN</t>
  </si>
  <si>
    <t>81.8y / 0.65m</t>
  </si>
  <si>
    <t>110.4/10</t>
  </si>
  <si>
    <t>3f 45</t>
  </si>
  <si>
    <t>Special Shuffle Hole 2</t>
  </si>
  <si>
    <t>213.2 / 10</t>
  </si>
  <si>
    <t>202.3 / 11</t>
  </si>
  <si>
    <t>West Wiz Hole 18 - 332y</t>
  </si>
  <si>
    <t>ซ้ายยก</t>
  </si>
  <si>
    <t>Variation</t>
  </si>
  <si>
    <t>For Wind 1m only!!</t>
  </si>
  <si>
    <t>2w</t>
  </si>
  <si>
    <t>HOLE 4</t>
  </si>
  <si>
    <t>HWI</t>
  </si>
  <si>
    <t>352 F</t>
  </si>
  <si>
    <t>352 B</t>
  </si>
  <si>
    <t>WIND</t>
  </si>
  <si>
    <t>Spike 1w Backspin 30</t>
  </si>
  <si>
    <t>HOLE 5</t>
  </si>
  <si>
    <t>2w Backspin 9</t>
  </si>
  <si>
    <t>HOLE 8</t>
  </si>
  <si>
    <t>ลายเกิน 6.6 PB โฮได้</t>
  </si>
  <si>
    <t>HOLE 16</t>
  </si>
  <si>
    <t>Green</t>
  </si>
  <si>
    <t>349 F</t>
  </si>
  <si>
    <t>349 B</t>
  </si>
  <si>
    <t>354 F</t>
  </si>
  <si>
    <t>354 B</t>
  </si>
  <si>
    <t>Hole 8</t>
  </si>
  <si>
    <t>Spike 1W</t>
  </si>
  <si>
    <t>HOLE 13</t>
  </si>
  <si>
    <t>1w Frontspin 24</t>
  </si>
  <si>
    <t>1w Frontspin 27</t>
  </si>
  <si>
    <t>336 F</t>
  </si>
  <si>
    <t>347 F</t>
  </si>
  <si>
    <t>336 B</t>
  </si>
  <si>
    <t>2w Frontspin 1</t>
  </si>
  <si>
    <t>องศาลมปืน</t>
  </si>
  <si>
    <t>C 3rd</t>
  </si>
  <si>
    <t>???</t>
  </si>
  <si>
    <r>
      <t>P.T</t>
    </r>
    <r>
      <rPr>
        <b/>
        <sz val="10"/>
        <color indexed="9"/>
        <rFont val="Tahoma"/>
      </rPr>
      <t>oma 1w</t>
    </r>
  </si>
  <si>
    <t>4I Toma</t>
  </si>
  <si>
    <t>For 1m Wind only!!</t>
  </si>
  <si>
    <t>ตัวคูณ</t>
  </si>
  <si>
    <t>ระยะหลุม</t>
  </si>
  <si>
    <t>หลุมสูง</t>
  </si>
  <si>
    <t>แรงลม</t>
  </si>
  <si>
    <t>องศาลม</t>
  </si>
  <si>
    <t>ลูกเอียง</t>
  </si>
  <si>
    <t>กรีนเอียง</t>
  </si>
  <si>
    <t>Presented by : MyChopper Gaming</t>
  </si>
  <si>
    <t>ลมส่ง</t>
  </si>
  <si>
    <t>ลมต้าน</t>
  </si>
  <si>
    <t>PB ลมส่ง</t>
  </si>
  <si>
    <t>PB ลมต้าน</t>
  </si>
  <si>
    <t>แรงลมส่ง</t>
  </si>
  <si>
    <t>แรงลมต้าน</t>
  </si>
  <si>
    <t>1 องศา</t>
  </si>
  <si>
    <t>ปรับ PB</t>
  </si>
  <si>
    <t>% Threshold 1</t>
  </si>
  <si>
    <t>% Threshold 2</t>
  </si>
  <si>
    <t>1w Toma Frontspin30</t>
  </si>
  <si>
    <t>*** วัดองศาที่หลุม ***</t>
  </si>
  <si>
    <t>1W = 286y Lolo SR</t>
  </si>
  <si>
    <t>2w Backspin 10</t>
  </si>
  <si>
    <t>ลมส่ง &gt;&gt;&gt; เท่านั้น</t>
  </si>
  <si>
    <t>Quebras ~MyCella~</t>
  </si>
  <si>
    <t>Pixel Slope / Small PB</t>
  </si>
  <si>
    <r>
      <rPr>
        <b/>
        <sz val="10"/>
        <color rgb="FFFFFFFF"/>
        <rFont val="Tahoma"/>
      </rPr>
      <t>T</t>
    </r>
    <r>
      <rPr>
        <b/>
        <sz val="10"/>
        <color indexed="9"/>
        <rFont val="Tahoma"/>
      </rPr>
      <t>oma 1w</t>
    </r>
  </si>
  <si>
    <t>หลุมสูง-ต่ำ</t>
  </si>
  <si>
    <t>Vento</t>
  </si>
  <si>
    <t>Hwi * cos * vento (I)</t>
  </si>
  <si>
    <t>(I) * inf altura</t>
  </si>
  <si>
    <t>Força do vento</t>
  </si>
  <si>
    <t>Hwi vento (+)</t>
  </si>
  <si>
    <t>Hwi vento (-)</t>
  </si>
  <si>
    <t>Vento(+) + InfH</t>
  </si>
  <si>
    <t>เอฟเฟคลูก</t>
  </si>
  <si>
    <t>Vento(-) + InfH</t>
  </si>
  <si>
    <t>1 PB</t>
  </si>
  <si>
    <t>ลมจริง</t>
  </si>
  <si>
    <t>ลมหลอก</t>
  </si>
  <si>
    <t>Altura</t>
  </si>
  <si>
    <t>% vento (+)</t>
  </si>
  <si>
    <t>% vento (-)</t>
  </si>
  <si>
    <t>Altura Real</t>
  </si>
  <si>
    <t xml:space="preserve">Força V(+) </t>
  </si>
  <si>
    <t>ลายจริง</t>
  </si>
  <si>
    <t>Força V(-)</t>
  </si>
  <si>
    <t>Força %</t>
  </si>
  <si>
    <t>Desvio</t>
  </si>
  <si>
    <t>Variação</t>
  </si>
  <si>
    <t>หลอก ?</t>
  </si>
  <si>
    <t>แรงลม ?</t>
  </si>
  <si>
    <t>องศาลม ?</t>
  </si>
  <si>
    <t>%ลมจริง</t>
  </si>
  <si>
    <t>%ลมหลอก</t>
  </si>
  <si>
    <t>30 Spin</t>
  </si>
  <si>
    <t>หลอก ??</t>
  </si>
  <si>
    <t>แรงลม ??</t>
  </si>
  <si>
    <t>ใส่สปินดั้ง1W</t>
  </si>
  <si>
    <t>องศาลม ??</t>
  </si>
  <si>
    <t>Wind Logic</t>
  </si>
  <si>
    <t>toma 3w</t>
  </si>
  <si>
    <t>2 / 303</t>
  </si>
  <si>
    <t>WIND ?</t>
  </si>
  <si>
    <t>2 / 318</t>
  </si>
  <si>
    <t>SIN ?</t>
  </si>
  <si>
    <t>2 / 320</t>
  </si>
  <si>
    <t>COS ?</t>
  </si>
  <si>
    <t>3 / L</t>
  </si>
  <si>
    <t>3 / R</t>
  </si>
  <si>
    <t>รัฟหลุม 12</t>
  </si>
  <si>
    <t>WIND ??</t>
  </si>
  <si>
    <t>หลุม 10</t>
  </si>
  <si>
    <t>SIN ??</t>
  </si>
  <si>
    <t>4 / ใกล้</t>
  </si>
  <si>
    <t>COS ??</t>
  </si>
  <si>
    <t>4 / ไกล</t>
  </si>
  <si>
    <t>0,8 Bola</t>
  </si>
  <si>
    <t>Toma.30</t>
  </si>
  <si>
    <t>ใส่สปิน</t>
  </si>
  <si>
    <t>Caliper Aim</t>
  </si>
  <si>
    <t>ไม้ฉาก</t>
  </si>
  <si>
    <t>ขีดที่ 1</t>
  </si>
  <si>
    <t>ขีดที่ 2</t>
  </si>
  <si>
    <t>ขีดที่ 3</t>
  </si>
  <si>
    <t>ขีดที่ 4</t>
  </si>
  <si>
    <t>ขีดที่ 5</t>
  </si>
  <si>
    <t>ขีดที่ 6</t>
  </si>
  <si>
    <t>Pixel Slope</t>
  </si>
  <si>
    <t>Aim</t>
  </si>
  <si>
    <t>AIM</t>
  </si>
  <si>
    <t>Dunk 1w Sp30</t>
  </si>
  <si>
    <t>ชดเชย Pixel</t>
  </si>
  <si>
    <t>ขอบคุณแปลนจาก : โย UK</t>
  </si>
  <si>
    <t>100-90</t>
  </si>
  <si>
    <t>90-70</t>
  </si>
  <si>
    <t>MAX Power</t>
  </si>
  <si>
    <t>Pin รวมพื้น</t>
  </si>
  <si>
    <t>&lt;80%</t>
  </si>
  <si>
    <t>Pin ลมส่ง</t>
  </si>
  <si>
    <t>Ball Slope</t>
  </si>
  <si>
    <t>Pixel</t>
  </si>
  <si>
    <t>Pin ลมต้าน</t>
  </si>
  <si>
    <t>Green Slope</t>
  </si>
  <si>
    <t>Wind +9m</t>
  </si>
  <si>
    <t>Wind -9m</t>
  </si>
  <si>
    <t>Pixel ลมส่ง</t>
  </si>
  <si>
    <t>Pixel ลมต้าน</t>
  </si>
  <si>
    <t>%FRONT</t>
  </si>
  <si>
    <t>%BACK</t>
  </si>
  <si>
    <t>Final Spin</t>
  </si>
  <si>
    <t>^5</t>
  </si>
  <si>
    <t>^4</t>
  </si>
  <si>
    <t>^3</t>
  </si>
  <si>
    <t>^2</t>
  </si>
  <si>
    <t>^1</t>
  </si>
  <si>
    <t>^0</t>
  </si>
  <si>
    <t>Terrain Dunk</t>
  </si>
  <si>
    <t>238..91</t>
  </si>
  <si>
    <t>204.92326.45</t>
  </si>
  <si>
    <t>Toma.31</t>
  </si>
  <si>
    <t>Dunk 1ps.31</t>
  </si>
  <si>
    <t>Toma.32</t>
  </si>
  <si>
    <t>Dunk 1ps.32</t>
  </si>
</sst>
</file>

<file path=xl/styles.xml><?xml version="1.0" encoding="utf-8"?>
<styleSheet xmlns="http://schemas.openxmlformats.org/spreadsheetml/2006/main">
  <numFmts count="17">
    <numFmt numFmtId="0" formatCode="General"/>
    <numFmt numFmtId="2" formatCode="0.00"/>
    <numFmt numFmtId="164" formatCode="0.0"/>
    <numFmt numFmtId="165" formatCode="0.0&quot;y&quot;"/>
    <numFmt numFmtId="1" formatCode="0"/>
    <numFmt numFmtId="9" formatCode="0%"/>
    <numFmt numFmtId="166" formatCode="0&quot;y&quot;"/>
    <numFmt numFmtId="167" formatCode="0.000"/>
    <numFmt numFmtId="10" formatCode="0.00%"/>
    <numFmt numFmtId="168" formatCode="0.000000"/>
    <numFmt numFmtId="169" formatCode="0.0%"/>
    <numFmt numFmtId="170" formatCode="0.00000"/>
    <numFmt numFmtId="11" formatCode="0.00E+00"/>
    <numFmt numFmtId="171" formatCode="0.0000"/>
    <numFmt numFmtId="172" formatCode="0&quot;%&quot;"/>
    <numFmt numFmtId="173" formatCode="&quot;+&quot;0&quot;y&quot;"/>
    <numFmt numFmtId="174" formatCode="_-* #,##0.00_-;\-* #,##0.00_-;_-* &quot;-&quot;??_-;_-@_-"/>
  </numFmts>
  <fonts count="130">
    <font>
      <name val="Arial"/>
      <sz val="10"/>
    </font>
    <font>
      <name val="Arial"/>
      <sz val="10"/>
    </font>
    <font>
      <name val="Calibri"/>
      <b/>
      <sz val="10"/>
      <color rgb="FF000714"/>
    </font>
    <font>
      <name val="Tahoma"/>
      <b/>
      <sz val="10"/>
      <color rgb="FF000714"/>
    </font>
    <font>
      <name val="Maiandra GD"/>
      <sz val="10"/>
      <color rgb="FF000714"/>
    </font>
    <font>
      <name val="Tahoma"/>
      <b/>
      <sz val="10"/>
      <color rgb="FFFFFFFF"/>
    </font>
    <font>
      <name val="Tahoma"/>
      <b/>
      <sz val="10"/>
    </font>
    <font>
      <name val="Calibri"/>
      <sz val="10"/>
      <color rgb="FF000000"/>
    </font>
    <font>
      <name val="Calibri"/>
      <sz val="10"/>
      <color rgb="FFFFFFFF"/>
    </font>
    <font>
      <name val="Calibri"/>
      <b/>
      <sz val="10"/>
      <color rgb="FF000000"/>
    </font>
    <font>
      <name val="Calibri"/>
      <b/>
      <sz val="10"/>
      <color rgb="FFFFFFFF"/>
    </font>
    <font>
      <name val="Arial"/>
      <sz val="10"/>
    </font>
    <font>
      <name val="Calibri"/>
      <b/>
      <sz val="10"/>
    </font>
    <font>
      <name val="Arial"/>
      <b/>
      <sz val="10"/>
    </font>
    <font>
      <name val="Calibri"/>
      <b/>
      <charset val="222"/>
      <sz val="16"/>
    </font>
    <font>
      <name val="Eras Bold ITC"/>
      <b/>
      <charset val="222"/>
      <sz val="18"/>
    </font>
    <font>
      <name val="Eras Bold ITC"/>
      <b/>
      <sz val="18"/>
      <color rgb="FFFFFFFF"/>
    </font>
    <font>
      <name val="Eras Bold ITC"/>
      <b/>
      <charset val="222"/>
      <sz val="18"/>
      <color rgb="FFFFFFFF"/>
    </font>
    <font>
      <name val="Calibri"/>
      <b/>
      <sz val="16"/>
      <color rgb="FFFF0000"/>
    </font>
    <font>
      <name val="Calibri"/>
      <b/>
      <sz val="11"/>
      <color rgb="FF000714"/>
    </font>
    <font>
      <name val="Calibri"/>
      <b/>
      <sz val="11"/>
      <color rgb="FFFFFFFF"/>
    </font>
    <font>
      <name val="Calibri"/>
      <sz val="10"/>
    </font>
    <font>
      <name val="Maiandra GD"/>
      <sz val="10"/>
    </font>
    <font>
      <name val="Calibri"/>
      <sz val="10"/>
      <color rgb="FF000714"/>
    </font>
    <font>
      <name val="Calibri"/>
      <b/>
      <sz val="11"/>
      <color rgb="FFF2F2F2"/>
    </font>
    <font>
      <name val="Tahoma"/>
      <sz val="10"/>
    </font>
    <font>
      <name val="Tahoma"/>
      <sz val="10"/>
    </font>
    <font>
      <name val="Calibri"/>
      <b/>
      <sz val="14"/>
      <color rgb="FFC00000"/>
    </font>
    <font>
      <name val="Tahoma"/>
      <sz val="10"/>
      <color rgb="FF000714"/>
    </font>
    <font>
      <name val="Maiandra GD"/>
      <sz val="10"/>
      <color rgb="FF262626"/>
    </font>
    <font>
      <name val="Arial"/>
      <b/>
      <sz val="20"/>
      <color rgb="FF7030A0"/>
    </font>
    <font>
      <name val="Arial"/>
      <b/>
      <sz val="12"/>
      <color rgb="FFC00000"/>
    </font>
    <font>
      <name val="Arial"/>
      <b/>
      <sz val="12"/>
      <color rgb="FF0070C0"/>
    </font>
    <font>
      <name val="Arial"/>
      <b/>
      <sz val="12"/>
      <color rgb="FFFF0000"/>
    </font>
    <font>
      <name val="Arial"/>
      <b/>
      <sz val="26"/>
      <color rgb="FFE36B09"/>
    </font>
    <font>
      <name val="Arial"/>
      <b/>
      <sz val="14"/>
      <color rgb="FF376092"/>
    </font>
    <font>
      <name val="Arial"/>
      <b/>
      <sz val="11"/>
    </font>
    <font>
      <name val="Arial"/>
      <b/>
      <sz val="14"/>
      <color rgb="FFE36B09"/>
    </font>
    <font>
      <name val="Arial"/>
      <b/>
      <sz val="14"/>
      <color rgb="FF96B3D7"/>
    </font>
    <font>
      <name val="Arial"/>
      <b/>
      <sz val="14"/>
    </font>
    <font>
      <name val="Arial"/>
      <sz val="10"/>
      <color rgb="FFFF0000"/>
    </font>
    <font>
      <name val="Arial"/>
      <sz val="26"/>
      <color rgb="FFE36B09"/>
    </font>
    <font>
      <name val="Arial"/>
      <b/>
      <sz val="14"/>
      <color rgb="FFFF0000"/>
    </font>
    <font>
      <name val="Arial"/>
      <b/>
      <sz val="14"/>
      <color rgb="FF17375E"/>
    </font>
    <font>
      <name val="Calibri"/>
      <b/>
      <sz val="18"/>
      <color rgb="FFFF0000"/>
    </font>
    <font>
      <name val="Arial"/>
      <b/>
      <sz val="14"/>
      <color rgb="FFB9CCE4"/>
    </font>
    <font>
      <name val="Arial"/>
      <b/>
      <sz val="14"/>
      <color rgb="FF974706"/>
    </font>
    <font>
      <name val="Arial"/>
      <b/>
      <sz val="14"/>
      <color rgb="FF568FD4"/>
    </font>
    <font>
      <name val="Arial"/>
      <b/>
      <sz val="14"/>
      <color rgb="FF7030A0"/>
    </font>
    <font>
      <name val="Arial"/>
      <b/>
      <sz val="14"/>
      <color rgb="FFFABF8F"/>
    </font>
    <font>
      <name val="Arial"/>
      <b/>
      <sz val="14"/>
      <color rgb="FF0070C0"/>
    </font>
    <font>
      <name val="Arial"/>
      <b/>
      <sz val="22"/>
      <color rgb="FFE36B09"/>
    </font>
    <font>
      <name val="Arial"/>
      <b/>
      <sz val="14"/>
      <color rgb="FFFFFFFF"/>
    </font>
    <font>
      <name val="Arial"/>
      <b/>
      <sz val="18"/>
    </font>
    <font>
      <name val="Arial"/>
      <b/>
      <sz val="10"/>
      <color rgb="FFFFFFFF"/>
    </font>
    <font>
      <name val="Arial"/>
      <sz val="9"/>
    </font>
    <font>
      <name val="Arial"/>
      <b/>
      <sz val="12"/>
      <color indexed="8"/>
    </font>
    <font>
      <name val="Arial"/>
      <b/>
      <sz val="10"/>
      <color indexed="8"/>
    </font>
    <font>
      <name val="Arial"/>
      <sz val="10"/>
      <color rgb="FF002060"/>
    </font>
    <font>
      <name val="Arial"/>
      <b/>
      <sz val="10"/>
      <color rgb="FF002060"/>
    </font>
    <font>
      <name val="Arial"/>
      <sz val="10"/>
      <color rgb="FF000000"/>
    </font>
    <font>
      <name val="Tahoma"/>
      <b/>
      <sz val="10"/>
      <color rgb="FF000000"/>
    </font>
    <font>
      <name val="Tahoma"/>
      <sz val="10"/>
      <color rgb="FF000000"/>
    </font>
    <font>
      <name val="Tahoma"/>
      <b/>
      <sz val="10"/>
    </font>
    <font>
      <name val="Arial"/>
      <sz val="10"/>
      <color rgb="FFFFFFFF"/>
    </font>
    <font>
      <name val="Arial"/>
      <sz val="10"/>
      <color rgb="FFDCE5F1"/>
    </font>
    <font>
      <name val="Tahoma"/>
      <sz val="11"/>
      <color rgb="FF000000"/>
    </font>
    <font>
      <name val="Arial"/>
      <sz val="10"/>
      <color indexed="8"/>
    </font>
    <font>
      <name val="Arial"/>
      <sz val="10"/>
      <color rgb="FF7030A0"/>
    </font>
    <font>
      <name val="Arial"/>
      <b/>
      <sz val="10"/>
      <color rgb="FF000000"/>
    </font>
    <font>
      <name val="Arial"/>
      <b/>
      <sz val="10"/>
      <color rgb="FFFF0000"/>
    </font>
    <font>
      <name val="Arial"/>
      <sz val="10"/>
      <color rgb="FF00B050"/>
    </font>
    <font>
      <name val="Arial"/>
      <sz val="10"/>
      <color rgb="FF963734"/>
    </font>
    <font>
      <name val="Calibri"/>
      <sz val="10"/>
      <color rgb="FF642523"/>
    </font>
    <font>
      <name val="Arial"/>
      <sz val="10"/>
      <color rgb="FFFFC000"/>
    </font>
    <font>
      <name val="Tahoma"/>
      <b/>
      <sz val="11"/>
    </font>
    <font>
      <name val="Tahoma"/>
      <b/>
      <sz val="11"/>
      <color rgb="FFFFFFFF"/>
    </font>
    <font>
      <name val="Calibri"/>
      <sz val="11"/>
      <color rgb="FF000000"/>
    </font>
    <font>
      <name val="Calibri"/>
      <sz val="11"/>
      <color rgb="FFFFFFFF"/>
    </font>
    <font>
      <name val="Calibri"/>
      <b/>
      <sz val="11"/>
      <color rgb="FF7030A0"/>
    </font>
    <font>
      <name val="Calibri"/>
      <b/>
      <sz val="14"/>
    </font>
    <font>
      <name val="Calibri"/>
      <b/>
      <sz val="10"/>
      <color rgb="FFD99694"/>
    </font>
    <font>
      <name val="Calibri"/>
      <b/>
      <sz val="11"/>
    </font>
    <font>
      <name val="Tahoma"/>
      <b/>
      <sz val="12"/>
      <color rgb="FFFFFFFF"/>
    </font>
    <font>
      <name val="Tahoma"/>
      <b/>
      <sz val="11"/>
      <color rgb="FF000000"/>
    </font>
    <font>
      <name val="Tahoma"/>
      <b/>
      <sz val="11"/>
      <color rgb="FF000714"/>
    </font>
    <font>
      <name val="Arial"/>
      <sz val="14"/>
      <color rgb="FFE36B09"/>
    </font>
    <font>
      <name val="Arial"/>
      <b/>
      <sz val="10"/>
      <color rgb="FF0070C0"/>
    </font>
    <font>
      <name val="Arial"/>
      <b/>
      <sz val="11"/>
      <color rgb="FF000000"/>
    </font>
    <font>
      <name val="Arial"/>
      <b/>
      <sz val="11"/>
      <color rgb="FFFFFFFF"/>
    </font>
    <font>
      <name val="Arial"/>
      <sz val="11"/>
      <color rgb="FF000000"/>
    </font>
    <font>
      <name val="Arial"/>
      <sz val="11"/>
      <color rgb="FFFFFFFF"/>
    </font>
    <font>
      <name val="Arial"/>
      <b/>
      <sz val="11"/>
      <color rgb="FF000714"/>
    </font>
    <font>
      <name val="Eras Bold ITC"/>
      <b/>
      <sz val="24"/>
    </font>
    <font>
      <name val="Eras Bold ITC"/>
      <sz val="10"/>
    </font>
    <font>
      <name val="Verdana"/>
      <b/>
      <sz val="18"/>
      <color rgb="FFFFFFFF"/>
    </font>
    <font>
      <name val="Arial"/>
      <b/>
      <sz val="16"/>
      <color rgb="FFFFFFFF"/>
    </font>
    <font>
      <name val="Eras Bold ITC"/>
      <b/>
      <sz val="16"/>
      <color rgb="FFFFFFFF"/>
    </font>
    <font>
      <name val="Arial"/>
      <sz val="11"/>
    </font>
    <font>
      <name val="Arial"/>
      <b/>
      <sz val="10"/>
      <color rgb="FF00B050"/>
    </font>
    <font>
      <name val="Arial"/>
      <b/>
      <sz val="10"/>
      <color rgb="FF7030A0"/>
    </font>
    <font>
      <name val="Arial"/>
      <b/>
      <i/>
      <u/>
      <sz val="10"/>
      <color rgb="FF000000"/>
    </font>
    <font>
      <name val="Arial"/>
      <b/>
      <sz val="18"/>
      <color rgb="FF0070C0"/>
    </font>
    <font>
      <name val="Arial"/>
      <sz val="10"/>
      <color rgb="FF92D050"/>
    </font>
    <font>
      <name val="Arial"/>
      <sz val="10"/>
      <color rgb="FF0C0C0C"/>
    </font>
    <font>
      <name val="Arial"/>
      <sz val="10"/>
      <color rgb="FF17375E"/>
    </font>
    <font>
      <name val="Arial"/>
      <sz val="12"/>
    </font>
    <font>
      <name val="Arial"/>
      <b/>
      <sz val="12"/>
    </font>
    <font>
      <name val="Arial"/>
      <b/>
      <sz val="9"/>
      <color rgb="FFFFFFFF"/>
    </font>
    <font>
      <name val="Arial"/>
      <sz val="9"/>
      <color rgb="FF000000"/>
    </font>
    <font>
      <name val="Arial"/>
      <b/>
      <sz val="9"/>
      <color rgb="FF000000"/>
    </font>
    <font>
      <name val="Tahoma"/>
      <b/>
      <sz val="9"/>
      <color rgb="FFFFFFFF"/>
    </font>
    <font>
      <name val="Tahoma"/>
      <b/>
      <sz val="9"/>
    </font>
    <font>
      <name val="Calibri"/>
      <b/>
      <sz val="9"/>
      <color rgb="FF000000"/>
    </font>
    <font>
      <name val="Calibri"/>
      <b/>
      <sz val="9"/>
      <color rgb="FFFFFFFF"/>
    </font>
    <font>
      <name val="Calibri"/>
      <sz val="9"/>
      <color rgb="FF000000"/>
    </font>
    <font>
      <name val="Calibri"/>
      <sz val="9"/>
      <color rgb="FFFFFFFF"/>
    </font>
    <font>
      <name val="Calibri"/>
      <b/>
      <sz val="9"/>
    </font>
    <font>
      <name val="Arial"/>
      <sz val="12"/>
      <color rgb="FF000000"/>
    </font>
    <font>
      <name val="Arial"/>
      <b/>
      <sz val="12"/>
      <color rgb="FF000000"/>
    </font>
    <font>
      <name val="Arial"/>
      <b/>
      <sz val="12"/>
      <color rgb="FFFFFFFF"/>
    </font>
    <font>
      <name val="Calibri"/>
      <b/>
      <sz val="14"/>
      <color rgb="FF002060"/>
    </font>
    <font>
      <name val="Tahoma"/>
      <b/>
      <sz val="11"/>
      <color rgb="FF7030A0"/>
    </font>
    <font>
      <name val="Tahoma"/>
      <charset val="129"/>
      <sz val="11"/>
    </font>
    <font>
      <name val="Tahoma"/>
      <sz val="11"/>
    </font>
    <font>
      <name val="Tahoma"/>
      <b/>
      <sz val="11"/>
    </font>
    <font>
      <name val="Tahoma"/>
      <charset val="222"/>
      <sz val="11"/>
      <color rgb="FF000000"/>
    </font>
    <font>
      <name val="Arial"/>
      <u/>
      <sz val="9"/>
      <color rgb="FF0000FF"/>
    </font>
    <font>
      <name val="Calibri"/>
      <sz val="11"/>
      <color indexed="8"/>
    </font>
    <font>
      <name val="Tahoma"/>
      <charset val="222"/>
      <sz val="11"/>
      <color rgb="FF9C6500"/>
    </font>
  </fonts>
  <fills count="93">
    <fill>
      <patternFill patternType="none"/>
    </fill>
    <fill>
      <patternFill patternType="gray125"/>
    </fill>
    <fill>
      <patternFill patternType="solid">
        <fgColor rgb="FFFFFFFF"/>
        <bgColor indexed="31"/>
      </patternFill>
    </fill>
    <fill>
      <patternFill patternType="solid">
        <fgColor rgb="FFFFC000"/>
        <bgColor indexed="31"/>
      </patternFill>
    </fill>
    <fill>
      <patternFill patternType="solid">
        <fgColor rgb="FFFF0000"/>
        <bgColor indexed="64"/>
      </patternFill>
    </fill>
    <fill>
      <patternFill patternType="solid">
        <fgColor rgb="FF948A53"/>
        <bgColor indexed="60"/>
      </patternFill>
    </fill>
    <fill>
      <patternFill patternType="solid">
        <fgColor rgb="FFB7DDE8"/>
        <bgColor indexed="64"/>
      </patternFill>
    </fill>
    <fill>
      <patternFill patternType="solid">
        <fgColor rgb="FFFFFFFF"/>
        <bgColor indexed="45"/>
      </patternFill>
    </fill>
    <fill>
      <patternFill patternType="solid">
        <fgColor rgb="FFFFC000"/>
        <bgColor indexed="45"/>
      </patternFill>
    </fill>
    <fill>
      <patternFill patternType="solid">
        <fgColor rgb="FFFFFFFF"/>
        <bgColor indexed="60"/>
      </patternFill>
    </fill>
    <fill>
      <patternFill patternType="solid">
        <fgColor rgb="FF000000"/>
        <bgColor indexed="60"/>
      </patternFill>
    </fill>
    <fill>
      <patternFill patternType="solid">
        <fgColor rgb="FF974706"/>
        <bgColor indexed="64"/>
      </patternFill>
    </fill>
    <fill>
      <patternFill patternType="solid">
        <fgColor rgb="FF4A4529"/>
        <bgColor indexed="60"/>
      </patternFill>
    </fill>
    <fill>
      <patternFill patternType="solid">
        <fgColor rgb="FF92D050"/>
        <bgColor indexed="60"/>
      </patternFill>
    </fill>
    <fill>
      <patternFill patternType="solid">
        <fgColor rgb="FF00B050"/>
        <bgColor indexed="60"/>
      </patternFill>
    </fill>
    <fill>
      <patternFill patternType="solid">
        <fgColor rgb="FFFFFFFF"/>
        <bgColor indexed="13"/>
      </patternFill>
    </fill>
    <fill>
      <patternFill patternType="solid">
        <fgColor rgb="FF000000"/>
        <bgColor indexed="13"/>
      </patternFill>
    </fill>
    <fill>
      <patternFill patternType="solid">
        <fgColor rgb="FFFFFFFF"/>
        <bgColor indexed="21"/>
      </patternFill>
    </fill>
    <fill>
      <patternFill patternType="solid">
        <fgColor rgb="FF4A4529"/>
        <bgColor indexed="64"/>
      </patternFill>
    </fill>
    <fill>
      <patternFill patternType="solid">
        <fgColor rgb="FF92D050"/>
        <bgColor indexed="62"/>
      </patternFill>
    </fill>
    <fill>
      <patternFill patternType="solid">
        <fgColor rgb="FF00B050"/>
        <bgColor indexed="62"/>
      </patternFill>
    </fill>
    <fill>
      <patternFill patternType="solid">
        <fgColor rgb="FFFFC000"/>
        <bgColor indexed="62"/>
      </patternFill>
    </fill>
    <fill>
      <patternFill patternType="solid">
        <fgColor rgb="FF0070C0"/>
        <bgColor indexed="62"/>
      </patternFill>
    </fill>
    <fill>
      <patternFill patternType="solid">
        <fgColor rgb="FF92D050"/>
        <bgColor indexed="21"/>
      </patternFill>
    </fill>
    <fill>
      <patternFill patternType="solid">
        <fgColor rgb="FF948A53"/>
        <bgColor indexed="64"/>
      </patternFill>
    </fill>
    <fill>
      <patternFill patternType="solid">
        <fgColor rgb="FFFFFF00"/>
        <bgColor indexed="20"/>
      </patternFill>
    </fill>
    <fill>
      <patternFill patternType="solid">
        <fgColor rgb="FFC4BD97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DE9D9"/>
        <bgColor indexed="64"/>
      </patternFill>
    </fill>
    <fill>
      <patternFill patternType="solid">
        <fgColor rgb="FFE36B09"/>
        <bgColor indexed="64"/>
      </patternFill>
    </fill>
    <fill>
      <patternFill patternType="solid">
        <fgColor rgb="FF0C0C0C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7030A0"/>
        <bgColor indexed="60"/>
      </patternFill>
    </fill>
    <fill>
      <patternFill patternType="solid">
        <fgColor rgb="FFFFFFFF"/>
        <bgColor indexed="41"/>
      </patternFill>
    </fill>
    <fill>
      <patternFill patternType="solid">
        <fgColor rgb="FF000000"/>
        <bgColor indexed="41"/>
      </patternFill>
    </fill>
    <fill>
      <patternFill patternType="solid">
        <fgColor rgb="FFFFFF00"/>
        <bgColor indexed="60"/>
      </patternFill>
    </fill>
    <fill>
      <patternFill patternType="solid">
        <fgColor rgb="FFFFFF0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3F3F3F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C1FEBE"/>
        <bgColor indexed="64"/>
      </patternFill>
    </fill>
    <fill>
      <patternFill patternType="solid">
        <fgColor rgb="FFD8D8D8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D99694"/>
        <bgColor indexed="64"/>
      </patternFill>
    </fill>
    <fill>
      <patternFill patternType="solid">
        <fgColor rgb="FFDBEEF3"/>
        <bgColor indexed="64"/>
      </patternFill>
    </fill>
    <fill>
      <patternFill patternType="solid">
        <fgColor rgb="FFFBD4B4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FF00"/>
        <bgColor indexed="55"/>
      </patternFill>
    </fill>
    <fill>
      <patternFill patternType="solid">
        <fgColor rgb="FF0070C0"/>
        <bgColor indexed="22"/>
      </patternFill>
    </fill>
    <fill>
      <patternFill patternType="solid">
        <fgColor rgb="FF92D050"/>
        <bgColor indexed="22"/>
      </patternFill>
    </fill>
    <fill>
      <patternFill patternType="solid">
        <fgColor rgb="FF00B050"/>
        <bgColor indexed="22"/>
      </patternFill>
    </fill>
    <fill>
      <patternFill patternType="solid">
        <fgColor rgb="FFFFFFCC"/>
        <bgColor indexed="64"/>
      </patternFill>
    </fill>
    <fill>
      <patternFill patternType="solid">
        <fgColor rgb="FFF2D25C"/>
        <bgColor indexed="64"/>
      </patternFill>
    </fill>
    <fill>
      <patternFill patternType="solid">
        <fgColor rgb="FF7030A0"/>
        <bgColor indexed="55"/>
      </patternFill>
    </fill>
    <fill>
      <patternFill patternType="solid">
        <fgColor rgb="FFFFFFFF"/>
        <bgColor indexed="55"/>
      </patternFill>
    </fill>
    <fill>
      <patternFill patternType="solid">
        <fgColor rgb="FF000000"/>
        <bgColor indexed="55"/>
      </patternFill>
    </fill>
    <fill>
      <patternFill patternType="solid">
        <fgColor rgb="FF8EB4E2"/>
        <bgColor indexed="64"/>
      </patternFill>
    </fill>
    <fill>
      <patternFill patternType="solid">
        <fgColor rgb="FFDCE5F1"/>
        <bgColor indexed="22"/>
      </patternFill>
    </fill>
    <fill>
      <patternFill patternType="solid">
        <fgColor rgb="FF17375E"/>
        <bgColor indexed="64"/>
      </patternFill>
    </fill>
    <fill>
      <patternFill patternType="solid">
        <fgColor rgb="FF92D050"/>
        <bgColor indexed="55"/>
      </patternFill>
    </fill>
    <fill>
      <patternFill patternType="solid">
        <fgColor rgb="FF00B050"/>
        <bgColor indexed="55"/>
      </patternFill>
    </fill>
    <fill>
      <patternFill patternType="solid">
        <fgColor rgb="FF94CDDD"/>
        <bgColor indexed="64"/>
      </patternFill>
    </fill>
    <fill>
      <patternFill patternType="solid">
        <fgColor rgb="FFE6B9B8"/>
        <bgColor indexed="64"/>
      </patternFill>
    </fill>
    <fill>
      <patternFill patternType="solid">
        <fgColor indexed="9"/>
        <bgColor indexed="26"/>
      </patternFill>
    </fill>
    <fill>
      <patternFill patternType="solid">
        <fgColor rgb="FFFFC000"/>
        <bgColor indexed="21"/>
      </patternFill>
    </fill>
    <fill>
      <patternFill patternType="solid">
        <fgColor rgb="FFB7DDE8"/>
        <bgColor indexed="26"/>
      </patternFill>
    </fill>
    <fill>
      <patternFill patternType="solid">
        <fgColor rgb="FFFABF8F"/>
        <bgColor indexed="64"/>
      </patternFill>
    </fill>
    <fill>
      <patternFill patternType="solid">
        <fgColor rgb="FFE6B9B8"/>
        <bgColor indexed="60"/>
      </patternFill>
    </fill>
    <fill>
      <patternFill patternType="solid">
        <fgColor rgb="FFFFFF00"/>
        <bgColor indexed="26"/>
      </patternFill>
    </fill>
    <fill>
      <patternFill patternType="solid">
        <fgColor rgb="FF002060"/>
        <bgColor indexed="31"/>
      </patternFill>
    </fill>
    <fill>
      <patternFill patternType="solid">
        <fgColor rgb="FF00B0F0"/>
        <bgColor indexed="45"/>
      </patternFill>
    </fill>
    <fill>
      <patternFill patternType="solid">
        <fgColor rgb="FF7F7F7F"/>
        <bgColor indexed="31"/>
      </patternFill>
    </fill>
    <fill>
      <patternFill patternType="solid">
        <fgColor rgb="FFBFBFBF"/>
        <bgColor indexed="31"/>
      </patternFill>
    </fill>
    <fill>
      <patternFill patternType="solid">
        <fgColor rgb="FF7F7F7F"/>
        <bgColor indexed="45"/>
      </patternFill>
    </fill>
    <fill>
      <patternFill patternType="solid">
        <fgColor rgb="FFFFFFCC"/>
        <bgColor indexed="26"/>
      </patternFill>
    </fill>
    <fill>
      <patternFill patternType="solid">
        <fgColor rgb="FFE6B9B8"/>
        <bgColor indexed="26"/>
      </patternFill>
    </fill>
    <fill>
      <patternFill patternType="solid">
        <fgColor rgb="FFFFCCCC"/>
        <bgColor indexed="64"/>
      </patternFill>
    </fill>
    <fill>
      <patternFill patternType="solid">
        <fgColor rgb="FFDDD9C3"/>
        <bgColor indexed="64"/>
      </patternFill>
    </fill>
    <fill>
      <patternFill patternType="solid">
        <fgColor rgb="FFEAF1DD"/>
        <bgColor indexed="64"/>
      </patternFill>
    </fill>
    <fill>
      <patternFill patternType="solid">
        <fgColor rgb="FFD6E3BC"/>
        <bgColor indexed="64"/>
      </patternFill>
    </fill>
    <fill>
      <patternFill patternType="solid">
        <fgColor rgb="FFC2D69B"/>
        <bgColor indexed="64"/>
      </patternFill>
    </fill>
    <fill>
      <patternFill patternType="solid">
        <fgColor rgb="FFDCE5F1"/>
        <bgColor indexed="64"/>
      </patternFill>
    </fill>
    <fill>
      <patternFill patternType="solid">
        <fgColor rgb="FF96B3D7"/>
        <bgColor indexed="64"/>
      </patternFill>
    </fill>
    <fill>
      <patternFill patternType="solid">
        <fgColor rgb="FFCBC0D9"/>
        <bgColor indexed="64"/>
      </patternFill>
    </fill>
    <fill>
      <patternFill patternType="solid">
        <fgColor rgb="FFE5DFEC"/>
        <bgColor indexed="64"/>
      </patternFill>
    </fill>
    <fill>
      <patternFill patternType="solid">
        <fgColor rgb="FFADDB7B"/>
        <bgColor indexed="64"/>
      </patternFill>
    </fill>
    <fill>
      <patternFill patternType="solid">
        <fgColor rgb="FFFFEB9C"/>
      </patternFill>
    </fill>
  </fills>
  <borders count="59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/>
      <diagonal/>
    </border>
    <border>
      <left style="medium">
        <color indexed="8"/>
      </left>
      <right style="medium">
        <color indexed="8"/>
      </right>
      <top style="medium">
        <color indexed="8"/>
      </top>
      <bottom/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/>
      <top/>
      <bottom/>
      <diagonal/>
    </border>
    <border>
      <left style="double">
        <color indexed="64"/>
      </left>
      <right style="double">
        <color indexed="64"/>
      </right>
      <top/>
      <bottom/>
      <diagonal/>
    </border>
    <border>
      <left style="double">
        <color indexed="8"/>
      </left>
      <right style="double">
        <color indexed="8"/>
      </right>
      <top style="double">
        <color indexed="8"/>
      </top>
      <bottom style="double">
        <color indexed="8"/>
      </bottom>
      <diagonal/>
    </border>
    <border>
      <left/>
      <right style="double">
        <color indexed="64"/>
      </right>
      <top/>
      <bottom/>
      <diagonal/>
    </border>
    <border>
      <left style="double">
        <color indexed="8"/>
      </left>
      <right style="double">
        <color indexed="8"/>
      </right>
      <top style="double">
        <color indexed="8"/>
      </top>
      <bottom/>
      <diagonal/>
    </border>
    <border>
      <left style="double">
        <color indexed="8"/>
      </left>
      <right/>
      <top style="double">
        <color indexed="8"/>
      </top>
      <bottom style="double">
        <color indexed="8"/>
      </bottom>
      <diagonal/>
    </border>
    <border>
      <left/>
      <right style="double">
        <color indexed="8"/>
      </right>
      <top style="double">
        <color indexed="8"/>
      </top>
      <bottom style="double">
        <color indexed="8"/>
      </bottom>
      <diagonal/>
    </border>
    <border>
      <left style="double">
        <color indexed="8"/>
      </left>
      <right/>
      <top style="double">
        <color indexed="8"/>
      </top>
      <bottom style="double">
        <color indexed="64"/>
      </bottom>
      <diagonal/>
    </border>
    <border>
      <left/>
      <right style="double">
        <color indexed="8"/>
      </right>
      <top style="double">
        <color indexed="8"/>
      </top>
      <bottom style="double">
        <color indexed="64"/>
      </bottom>
      <diagonal/>
    </border>
    <border>
      <left/>
      <right style="medium">
        <color indexed="8"/>
      </right>
      <top style="medium">
        <color indexed="8"/>
      </top>
      <bottom style="medium">
        <color indexed="8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8"/>
      </right>
      <top/>
      <bottom style="medium">
        <color indexed="8"/>
      </bottom>
      <diagonal/>
    </border>
    <border>
      <left style="medium">
        <color indexed="8"/>
      </left>
      <right style="medium">
        <color indexed="8"/>
      </right>
      <top/>
      <bottom style="medium">
        <color indexed="8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8"/>
      </left>
      <right style="medium">
        <color indexed="8"/>
      </right>
      <top/>
      <bottom/>
      <diagonal/>
    </border>
    <border>
      <left style="medium">
        <color indexed="8"/>
      </left>
      <right/>
      <top style="medium">
        <color indexed="8"/>
      </top>
      <bottom style="medium">
        <color indexed="8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 style="medium">
        <color indexed="8"/>
      </left>
      <right/>
      <top/>
      <bottom style="medium">
        <color indexed="8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double">
        <color indexed="64"/>
      </bottom>
      <diagonal/>
    </border>
  </borders>
  <cellStyleXfs count="15">
    <xf numFmtId="0" fontId="0" fillId="0" borderId="0">
      <alignment vertical="center"/>
    </xf>
    <xf numFmtId="0" fontId="11" fillId="0" borderId="0">
      <alignment vertical="bottom"/>
      <protection locked="0" hidden="0"/>
    </xf>
    <xf numFmtId="0" fontId="11" fillId="0" borderId="0">
      <alignment vertical="bottom"/>
      <protection locked="0" hidden="0"/>
    </xf>
    <xf numFmtId="0" fontId="11" fillId="0" borderId="0">
      <alignment vertical="bottom"/>
      <protection locked="0" hidden="0"/>
    </xf>
    <xf numFmtId="0" fontId="126" fillId="0" borderId="0">
      <alignment vertical="bottom"/>
      <protection locked="0" hidden="0"/>
    </xf>
    <xf numFmtId="0" fontId="127" fillId="0" borderId="0">
      <alignment vertical="bottom"/>
      <protection locked="0" hidden="0"/>
    </xf>
    <xf numFmtId="9" fontId="11" fillId="0" borderId="0">
      <alignment vertical="bottom"/>
      <protection locked="0" hidden="0"/>
    </xf>
    <xf numFmtId="0" fontId="128" fillId="0" borderId="0">
      <alignment vertical="bottom"/>
      <protection locked="0" hidden="0"/>
    </xf>
    <xf numFmtId="0" fontId="66" fillId="0" borderId="0">
      <alignment vertical="bottom"/>
      <protection locked="0" hidden="0"/>
    </xf>
    <xf numFmtId="0" fontId="128" fillId="69" borderId="0">
      <alignment vertical="bottom"/>
      <protection locked="0" hidden="0"/>
    </xf>
    <xf numFmtId="0" fontId="129" fillId="92" borderId="0">
      <alignment vertical="bottom"/>
      <protection locked="0" hidden="0"/>
    </xf>
    <xf numFmtId="174" fontId="11" fillId="0" borderId="0">
      <alignment vertical="bottom"/>
      <protection locked="0" hidden="0"/>
    </xf>
    <xf numFmtId="9" fontId="11" fillId="0" borderId="0">
      <alignment vertical="bottom"/>
      <protection locked="0" hidden="0"/>
    </xf>
    <xf numFmtId="0" fontId="11" fillId="0" borderId="0">
      <alignment vertical="bottom"/>
      <protection locked="0" hidden="0"/>
    </xf>
    <xf numFmtId="0" fontId="11" fillId="0" borderId="0">
      <alignment vertical="bottom"/>
      <protection locked="0" hidden="0"/>
    </xf>
  </cellStyleXfs>
  <cellXfs count="1206">
    <xf numFmtId="0" fontId="0" fillId="0" borderId="0" xfId="0">
      <alignment vertical="center"/>
    </xf>
    <xf numFmtId="0" fontId="1" fillId="0" borderId="0" xfId="0" applyFont="1" applyAlignment="1">
      <alignment horizontal="center" vertical="center"/>
      <protection locked="1" hidden="1"/>
    </xf>
    <xf numFmtId="0" fontId="2" fillId="2" borderId="1" xfId="1" applyNumberFormat="1" applyFont="1" applyFill="1" applyBorder="1" applyAlignment="1">
      <alignment horizontal="center" vertical="center"/>
      <protection locked="1" hidden="1"/>
    </xf>
    <xf numFmtId="2" fontId="3" fillId="3" borderId="1" xfId="1" applyNumberFormat="1" applyFont="1" applyFill="1" applyBorder="1" applyAlignment="1">
      <alignment horizontal="center" vertical="center"/>
      <protection locked="0" hidden="0"/>
    </xf>
    <xf numFmtId="0" fontId="4" fillId="0" borderId="0" xfId="0" applyFont="1" applyAlignment="1">
      <alignment horizontal="center" vertical="center"/>
      <protection locked="1" hidden="1"/>
    </xf>
    <xf numFmtId="0" fontId="5" fillId="4" borderId="1" xfId="1" applyFont="1" applyFill="1" applyBorder="1" applyAlignment="1">
      <alignment horizontal="center" vertical="bottom"/>
      <protection locked="1" hidden="1"/>
    </xf>
    <xf numFmtId="0" fontId="6" fillId="5" borderId="1" xfId="1" applyNumberFormat="1" applyFont="1" applyFill="1" applyBorder="1" applyAlignment="1">
      <alignment horizontal="center" vertical="center"/>
      <protection locked="1" hidden="1"/>
    </xf>
    <xf numFmtId="0" fontId="6" fillId="6" borderId="1" xfId="1" applyFont="1" applyFill="1" applyBorder="1" applyAlignment="1">
      <alignment horizontal="center" vertical="bottom"/>
      <protection locked="1" hidden="1"/>
    </xf>
    <xf numFmtId="0" fontId="5" fillId="5" borderId="2" xfId="1" applyNumberFormat="1" applyFont="1" applyFill="1" applyBorder="1" applyAlignment="1">
      <alignment horizontal="center" vertical="center"/>
      <protection locked="1" hidden="1"/>
    </xf>
    <xf numFmtId="0" fontId="1" fillId="0" borderId="0" xfId="0" applyAlignment="1">
      <alignment horizontal="center" vertical="center"/>
      <protection locked="1" hidden="1"/>
    </xf>
    <xf numFmtId="0" fontId="2" fillId="7" borderId="1" xfId="1" applyNumberFormat="1" applyFont="1" applyFill="1" applyBorder="1" applyAlignment="1">
      <alignment horizontal="center" vertical="center"/>
      <protection locked="1" hidden="1"/>
    </xf>
    <xf numFmtId="164" fontId="3" fillId="8" borderId="1" xfId="1" applyNumberFormat="1" applyFont="1" applyFill="1" applyBorder="1" applyAlignment="1">
      <alignment horizontal="center" vertical="center"/>
      <protection locked="0" hidden="0"/>
    </xf>
    <xf numFmtId="2" fontId="7" fillId="9" borderId="1" xfId="1" applyNumberFormat="1" applyFont="1" applyFill="1" applyBorder="1" applyAlignment="1">
      <alignment horizontal="center" vertical="center"/>
      <protection locked="1" hidden="1"/>
    </xf>
    <xf numFmtId="2" fontId="8" fillId="10" borderId="1" xfId="1" applyNumberFormat="1" applyFont="1" applyFill="1" applyBorder="1" applyAlignment="1">
      <alignment horizontal="center" vertical="center"/>
      <protection locked="1" hidden="1"/>
    </xf>
    <xf numFmtId="0" fontId="5" fillId="11" borderId="2" xfId="1" applyFont="1" applyFill="1" applyBorder="1" applyAlignment="1">
      <alignment horizontal="center" vertical="bottom"/>
      <protection locked="1" hidden="1"/>
    </xf>
    <xf numFmtId="0" fontId="6" fillId="5" borderId="2" xfId="1" applyNumberFormat="1" applyFont="1" applyFill="1" applyBorder="1" applyAlignment="1">
      <alignment horizontal="center" vertical="center"/>
      <protection locked="1" hidden="1"/>
    </xf>
    <xf numFmtId="165" fontId="1" fillId="0" borderId="0" xfId="0" applyNumberFormat="1" applyAlignment="1">
      <alignment horizontal="center" vertical="center"/>
      <protection locked="1" hidden="1"/>
    </xf>
    <xf numFmtId="0" fontId="3" fillId="3" borderId="1" xfId="1" applyNumberFormat="1" applyFont="1" applyFill="1" applyBorder="1" applyAlignment="1">
      <alignment horizontal="center" vertical="center"/>
      <protection locked="0" hidden="0"/>
    </xf>
    <xf numFmtId="0" fontId="5" fillId="12" borderId="1" xfId="1" applyNumberFormat="1" applyFont="1" applyFill="1" applyBorder="1" applyAlignment="1">
      <alignment horizontal="center" vertical="center"/>
      <protection locked="1" hidden="1"/>
    </xf>
    <xf numFmtId="2" fontId="9" fillId="13" borderId="1" xfId="1" applyNumberFormat="1" applyFont="1" applyFill="1" applyBorder="1" applyAlignment="1">
      <alignment horizontal="center" vertical="center"/>
      <protection locked="1" hidden="1"/>
    </xf>
    <xf numFmtId="2" fontId="10" fillId="14" borderId="1" xfId="1" applyNumberFormat="1" applyFont="1" applyFill="1" applyBorder="1" applyAlignment="1">
      <alignment horizontal="center" vertical="center"/>
      <protection locked="1" hidden="1"/>
    </xf>
    <xf numFmtId="0" fontId="5" fillId="12" borderId="2" xfId="1" applyNumberFormat="1" applyFont="1" applyFill="1" applyBorder="1" applyAlignment="1">
      <alignment horizontal="center" vertical="center"/>
      <protection locked="1" hidden="1"/>
    </xf>
    <xf numFmtId="2" fontId="9" fillId="13" borderId="2" xfId="1" applyNumberFormat="1" applyFont="1" applyFill="1" applyBorder="1" applyAlignment="1">
      <alignment horizontal="center" vertical="center"/>
      <protection locked="1" hidden="1"/>
    </xf>
    <xf numFmtId="2" fontId="10" fillId="14" borderId="2" xfId="1" applyNumberFormat="1" applyFont="1" applyFill="1" applyBorder="1" applyAlignment="1">
      <alignment horizontal="center" vertical="center"/>
      <protection locked="1" hidden="1"/>
    </xf>
    <xf numFmtId="0" fontId="1" fillId="0" borderId="0" xfId="2" applyFont="1" applyAlignment="1">
      <alignment horizontal="center" vertical="center"/>
      <protection locked="1" hidden="1"/>
    </xf>
    <xf numFmtId="165" fontId="11" fillId="0" borderId="0" xfId="2" applyNumberFormat="1" applyAlignment="1">
      <alignment horizontal="center" vertical="center"/>
      <protection locked="1" hidden="1"/>
    </xf>
    <xf numFmtId="2" fontId="3" fillId="8" borderId="1" xfId="1" applyNumberFormat="1" applyFont="1" applyFill="1" applyBorder="1" applyAlignment="1">
      <alignment horizontal="center" vertical="center"/>
      <protection locked="0" hidden="0"/>
    </xf>
    <xf numFmtId="2" fontId="7" fillId="15" borderId="1" xfId="1" applyNumberFormat="1" applyFont="1" applyFill="1" applyBorder="1" applyAlignment="1">
      <alignment horizontal="center" vertical="center"/>
      <protection locked="1" hidden="1"/>
    </xf>
    <xf numFmtId="2" fontId="8" fillId="16" borderId="1" xfId="1" applyNumberFormat="1" applyFont="1" applyFill="1" applyBorder="1" applyAlignment="1">
      <alignment horizontal="center" vertical="center"/>
      <protection locked="1" hidden="1"/>
    </xf>
    <xf numFmtId="2" fontId="7" fillId="9" borderId="2" xfId="1" applyNumberFormat="1" applyFont="1" applyFill="1" applyBorder="1" applyAlignment="1">
      <alignment horizontal="center" vertical="center"/>
      <protection locked="1" hidden="1"/>
    </xf>
    <xf numFmtId="2" fontId="8" fillId="10" borderId="2" xfId="1" applyNumberFormat="1" applyFont="1" applyFill="1" applyBorder="1" applyAlignment="1">
      <alignment horizontal="center" vertical="center"/>
      <protection locked="1" hidden="1"/>
    </xf>
    <xf numFmtId="0" fontId="2" fillId="17" borderId="1" xfId="1" applyNumberFormat="1" applyFont="1" applyFill="1" applyBorder="1" applyAlignment="1">
      <alignment horizontal="center" vertical="center"/>
      <protection locked="1" hidden="1"/>
    </xf>
    <xf numFmtId="0" fontId="5" fillId="18" borderId="1" xfId="1" applyFont="1" applyFill="1" applyBorder="1" applyAlignment="1">
      <alignment horizontal="center" vertical="center"/>
      <protection locked="1" hidden="1"/>
    </xf>
    <xf numFmtId="164" fontId="12" fillId="19" borderId="1" xfId="1" applyNumberFormat="1" applyFont="1" applyFill="1" applyBorder="1" applyAlignment="1">
      <alignment horizontal="center" vertical="center"/>
      <protection locked="1" hidden="1"/>
    </xf>
    <xf numFmtId="164" fontId="10" fillId="20" borderId="1" xfId="1" applyNumberFormat="1" applyFont="1" applyFill="1" applyBorder="1" applyAlignment="1">
      <alignment horizontal="center" vertical="center"/>
      <protection locked="1" hidden="1"/>
    </xf>
    <xf numFmtId="0" fontId="5" fillId="18" borderId="2" xfId="1" applyFont="1" applyFill="1" applyBorder="1" applyAlignment="1">
      <alignment horizontal="center" vertical="center"/>
      <protection locked="1" hidden="1"/>
    </xf>
    <xf numFmtId="164" fontId="12" fillId="21" borderId="2" xfId="1" applyNumberFormat="1" applyFont="1" applyFill="1" applyBorder="1" applyAlignment="1">
      <alignment horizontal="center" vertical="center"/>
      <protection locked="1" hidden="1"/>
    </xf>
    <xf numFmtId="164" fontId="10" fillId="22" borderId="2" xfId="1" applyNumberFormat="1" applyFont="1" applyFill="1" applyBorder="1" applyAlignment="1">
      <alignment horizontal="center" vertical="center"/>
      <protection locked="1" hidden="1"/>
    </xf>
    <xf numFmtId="0" fontId="3" fillId="23" borderId="1" xfId="1" applyNumberFormat="1" applyFont="1" applyFill="1" applyBorder="1" applyAlignment="1">
      <alignment horizontal="center" vertical="center"/>
      <protection locked="0" hidden="0"/>
    </xf>
    <xf numFmtId="0" fontId="6" fillId="24" borderId="1" xfId="1" applyFont="1" applyFill="1" applyBorder="1" applyAlignment="1">
      <alignment horizontal="center" vertical="center"/>
      <protection locked="1" hidden="1"/>
    </xf>
    <xf numFmtId="1" fontId="2" fillId="25" borderId="1" xfId="1" applyNumberFormat="1" applyFont="1" applyFill="1" applyBorder="1" applyAlignment="1">
      <alignment horizontal="center" vertical="center"/>
      <protection locked="1" hidden="1"/>
    </xf>
    <xf numFmtId="1" fontId="2" fillId="25" borderId="1" xfId="1" applyNumberFormat="1" applyFont="1" applyFill="1" applyBorder="1" applyAlignment="1">
      <alignment horizontal="center" vertical="center"/>
      <protection locked="1" hidden="1"/>
    </xf>
    <xf numFmtId="0" fontId="13" fillId="26" borderId="3" xfId="1" applyFont="1" applyFill="1" applyBorder="1" applyAlignment="1">
      <alignment horizontal="center" vertical="center"/>
      <protection locked="1" hidden="1"/>
    </xf>
    <xf numFmtId="0" fontId="2" fillId="27" borderId="1" xfId="1" applyFont="1" applyFill="1" applyBorder="1" applyAlignment="1">
      <alignment horizontal="center" vertical="center"/>
      <protection locked="1" hidden="1"/>
    </xf>
    <xf numFmtId="9" fontId="3" fillId="28" borderId="1" xfId="1" applyNumberFormat="1" applyFont="1" applyFill="1" applyBorder="1" applyAlignment="1">
      <alignment horizontal="center" vertical="center"/>
      <protection locked="0" hidden="0"/>
    </xf>
    <xf numFmtId="0" fontId="14" fillId="29" borderId="1" xfId="1" applyFont="1" applyFill="1" applyBorder="1" applyAlignment="1">
      <alignment horizontal="center" vertical="center"/>
      <protection locked="1" hidden="1"/>
    </xf>
    <xf numFmtId="2" fontId="15" fillId="29" borderId="1" xfId="1" applyNumberFormat="1" applyFont="1" applyFill="1" applyBorder="1" applyAlignment="1">
      <alignment horizontal="center" vertical="center"/>
      <protection locked="0" hidden="0"/>
    </xf>
    <xf numFmtId="0" fontId="16" fillId="30" borderId="1" xfId="1" applyFont="1" applyFill="1" applyBorder="1" applyAlignment="1">
      <alignment horizontal="center" vertical="center"/>
      <protection locked="1" hidden="1"/>
    </xf>
    <xf numFmtId="2" fontId="17" fillId="30" borderId="1" xfId="1" applyNumberFormat="1" applyFont="1" applyFill="1" applyBorder="1" applyAlignment="1">
      <alignment horizontal="center" vertical="center"/>
      <protection locked="0" hidden="0"/>
    </xf>
    <xf numFmtId="0" fontId="18" fillId="31" borderId="2" xfId="0" applyFont="1" applyFill="1" applyBorder="1" applyAlignment="1">
      <alignment horizontal="center" vertical="center"/>
      <protection locked="1" hidden="1"/>
    </xf>
    <xf numFmtId="0" fontId="19" fillId="27" borderId="1" xfId="0" applyFont="1" applyFill="1" applyBorder="1" applyAlignment="1">
      <alignment horizontal="center" vertical="center"/>
      <protection locked="1" hidden="1"/>
    </xf>
    <xf numFmtId="0" fontId="20" fillId="32" borderId="1" xfId="0" applyNumberFormat="1" applyFont="1" applyFill="1" applyBorder="1" applyAlignment="1">
      <alignment horizontal="center" vertical="center"/>
      <protection locked="1" hidden="1"/>
    </xf>
    <xf numFmtId="0" fontId="6" fillId="6" borderId="4" xfId="1" applyFont="1" applyFill="1" applyBorder="1" applyAlignment="1">
      <alignment horizontal="center" vertical="bottom"/>
      <protection locked="1" hidden="1"/>
    </xf>
    <xf numFmtId="0" fontId="6" fillId="5" borderId="4" xfId="1" applyNumberFormat="1" applyFont="1" applyFill="1" applyBorder="1" applyAlignment="1">
      <alignment horizontal="center" vertical="center"/>
      <protection locked="1" hidden="1"/>
    </xf>
    <xf numFmtId="0" fontId="5" fillId="5" borderId="5" xfId="1" applyNumberFormat="1" applyFont="1" applyFill="1" applyBorder="1" applyAlignment="1">
      <alignment horizontal="center" vertical="center"/>
      <protection locked="1" hidden="1"/>
    </xf>
    <xf numFmtId="0" fontId="5" fillId="33" borderId="1" xfId="1" applyFont="1" applyFill="1" applyBorder="1" applyAlignment="1">
      <alignment horizontal="center" vertical="center"/>
      <protection locked="1" hidden="1"/>
    </xf>
    <xf numFmtId="166" fontId="6" fillId="28" borderId="1" xfId="1" applyNumberFormat="1" applyFont="1" applyFill="1" applyBorder="1" applyAlignment="1">
      <alignment horizontal="center" vertical="center"/>
      <protection locked="0" hidden="0"/>
    </xf>
    <xf numFmtId="2" fontId="9" fillId="34" borderId="1" xfId="1" applyNumberFormat="1" applyFont="1" applyFill="1" applyBorder="1" applyAlignment="1" quotePrefix="1">
      <alignment horizontal="center" vertical="center"/>
      <protection locked="1" hidden="1"/>
    </xf>
    <xf numFmtId="2" fontId="10" fillId="35" borderId="1" xfId="1" applyNumberFormat="1" applyFont="1" applyFill="1" applyBorder="1" applyAlignment="1" quotePrefix="1">
      <alignment horizontal="center" vertical="center"/>
      <protection locked="1" hidden="1"/>
    </xf>
    <xf numFmtId="2" fontId="7" fillId="13" borderId="1" xfId="1" applyNumberFormat="1" applyFont="1" applyFill="1" applyBorder="1" applyAlignment="1">
      <alignment horizontal="center" vertical="center"/>
      <protection locked="1" hidden="1"/>
    </xf>
    <xf numFmtId="2" fontId="8" fillId="14" borderId="1" xfId="1" applyNumberFormat="1" applyFont="1" applyFill="1" applyBorder="1" applyAlignment="1">
      <alignment horizontal="center" vertical="center"/>
      <protection locked="1" hidden="1"/>
    </xf>
    <xf numFmtId="2" fontId="7" fillId="27" borderId="1" xfId="1" applyNumberFormat="1" applyFont="1" applyFill="1" applyBorder="1" applyAlignment="1" quotePrefix="1">
      <alignment horizontal="center" vertical="center"/>
      <protection locked="1" hidden="1"/>
    </xf>
    <xf numFmtId="2" fontId="8" fillId="36" borderId="1" xfId="1" applyNumberFormat="1" applyFont="1" applyFill="1" applyBorder="1" applyAlignment="1" quotePrefix="1">
      <alignment horizontal="center" vertical="center"/>
      <protection locked="1" hidden="1"/>
    </xf>
    <xf numFmtId="164" fontId="9" fillId="34" borderId="1" xfId="1" applyNumberFormat="1" applyFont="1" applyFill="1" applyBorder="1" applyAlignment="1">
      <alignment horizontal="center" vertical="center"/>
      <protection locked="1" hidden="1"/>
    </xf>
    <xf numFmtId="164" fontId="10" fillId="35" borderId="1" xfId="1" applyNumberFormat="1" applyFont="1" applyFill="1" applyBorder="1" applyAlignment="1">
      <alignment horizontal="center" vertical="center"/>
      <protection locked="1" hidden="1"/>
    </xf>
    <xf numFmtId="0" fontId="13" fillId="26" borderId="2" xfId="1" applyFont="1" applyFill="1" applyBorder="1" applyAlignment="1">
      <alignment horizontal="center" vertical="center"/>
      <protection locked="1" hidden="1"/>
    </xf>
    <xf numFmtId="0" fontId="5" fillId="37" borderId="1" xfId="1" applyFont="1" applyFill="1" applyBorder="1" applyAlignment="1">
      <alignment horizontal="center" vertical="center"/>
      <protection locked="1" hidden="1"/>
    </xf>
    <xf numFmtId="0" fontId="5" fillId="38" borderId="2" xfId="1" applyNumberFormat="1" applyFont="1" applyFill="1" applyBorder="1" applyAlignment="1">
      <alignment horizontal="center" vertical="center"/>
      <protection locked="1" hidden="1"/>
    </xf>
    <xf numFmtId="0" fontId="5" fillId="38" borderId="2" xfId="1" applyNumberFormat="1" applyFont="1" applyFill="1" applyBorder="1" applyAlignment="1">
      <alignment horizontal="center" vertical="center"/>
      <protection locked="1" hidden="1"/>
    </xf>
    <xf numFmtId="2" fontId="7" fillId="39" borderId="1" xfId="1" applyNumberFormat="1" applyFont="1" applyFill="1" applyBorder="1" applyAlignment="1">
      <alignment horizontal="center" vertical="center"/>
      <protection locked="1" hidden="1"/>
    </xf>
    <xf numFmtId="2" fontId="8" fillId="40" borderId="1" xfId="1" applyNumberFormat="1" applyFont="1" applyFill="1" applyBorder="1" applyAlignment="1">
      <alignment horizontal="center" vertical="center"/>
      <protection locked="1" hidden="1"/>
    </xf>
    <xf numFmtId="0" fontId="12" fillId="41" borderId="2" xfId="1" applyNumberFormat="1" applyFont="1" applyFill="1" applyBorder="1" applyAlignment="1">
      <alignment horizontal="center" vertical="center"/>
      <protection locked="1" hidden="1"/>
    </xf>
    <xf numFmtId="0" fontId="21" fillId="0" borderId="0" xfId="1" applyFont="1" applyFill="1" applyAlignment="1">
      <alignment horizontal="center" vertical="center"/>
      <protection locked="1" hidden="1"/>
    </xf>
    <xf numFmtId="0" fontId="6" fillId="42" borderId="1" xfId="1" applyFont="1" applyFill="1" applyBorder="1" applyAlignment="1">
      <alignment horizontal="center" vertical="center"/>
      <protection locked="1" hidden="1"/>
    </xf>
    <xf numFmtId="0" fontId="5" fillId="43" borderId="1" xfId="1" applyFont="1" applyFill="1" applyBorder="1" applyAlignment="1">
      <alignment horizontal="center" vertical="center"/>
      <protection locked="1" hidden="1"/>
    </xf>
    <xf numFmtId="0" fontId="5" fillId="37" borderId="1" xfId="1" applyFont="1" applyFill="1" applyBorder="1" applyAlignment="1">
      <alignment horizontal="center" vertical="bottom"/>
      <protection locked="1" hidden="1"/>
    </xf>
    <xf numFmtId="0" fontId="22" fillId="0" borderId="0" xfId="0" applyFont="1" applyAlignment="1">
      <alignment horizontal="center" vertical="center"/>
      <protection locked="1" hidden="1"/>
    </xf>
    <xf numFmtId="2" fontId="9" fillId="13" borderId="1" xfId="0" applyNumberFormat="1" applyFont="1" applyFill="1" applyBorder="1" applyAlignment="1">
      <alignment horizontal="center" vertical="center"/>
      <protection locked="1" hidden="1"/>
    </xf>
    <xf numFmtId="2" fontId="10" fillId="14" borderId="1" xfId="0" applyNumberFormat="1" applyFont="1" applyFill="1" applyBorder="1" applyAlignment="1">
      <alignment horizontal="center" vertical="center"/>
      <protection locked="1" hidden="1"/>
    </xf>
    <xf numFmtId="2" fontId="7" fillId="9" borderId="1" xfId="0" applyNumberFormat="1" applyFont="1" applyFill="1" applyBorder="1" applyAlignment="1">
      <alignment horizontal="center" vertical="center"/>
      <protection locked="1" hidden="1"/>
    </xf>
    <xf numFmtId="2" fontId="8" fillId="10" borderId="1" xfId="0" applyNumberFormat="1" applyFont="1" applyFill="1" applyBorder="1" applyAlignment="1">
      <alignment horizontal="center" vertical="center"/>
      <protection locked="1" hidden="1"/>
    </xf>
    <xf numFmtId="164" fontId="12" fillId="19" borderId="1" xfId="0" applyNumberFormat="1" applyFont="1" applyFill="1" applyBorder="1" applyAlignment="1">
      <alignment horizontal="center" vertical="center"/>
      <protection locked="1" hidden="1"/>
    </xf>
    <xf numFmtId="164" fontId="10" fillId="20" borderId="1" xfId="0" applyNumberFormat="1" applyFont="1" applyFill="1" applyBorder="1" applyAlignment="1">
      <alignment horizontal="center" vertical="center"/>
      <protection locked="1" hidden="1"/>
    </xf>
    <xf numFmtId="1" fontId="2" fillId="25" borderId="6" xfId="1" applyNumberFormat="1" applyFont="1" applyFill="1" applyBorder="1" applyAlignment="1">
      <alignment horizontal="center" vertical="center"/>
      <protection locked="1" hidden="1"/>
    </xf>
    <xf numFmtId="0" fontId="12" fillId="0" borderId="0" xfId="1" applyFont="1" applyFill="1" applyBorder="1">
      <alignment vertical="center"/>
      <protection locked="1" hidden="1"/>
    </xf>
    <xf numFmtId="164" fontId="2" fillId="25" borderId="1" xfId="1" applyNumberFormat="1" applyFont="1" applyFill="1" applyBorder="1" applyAlignment="1">
      <alignment horizontal="center" vertical="center"/>
      <protection locked="1" hidden="1"/>
    </xf>
    <xf numFmtId="164" fontId="12" fillId="0" borderId="0" xfId="1" applyNumberFormat="1" applyFont="1" applyFill="1" applyAlignment="1">
      <alignment horizontal="center" vertical="center"/>
      <protection locked="1" hidden="1"/>
    </xf>
    <xf numFmtId="0" fontId="10" fillId="44" borderId="7" xfId="1" applyFont="1" applyFill="1" applyBorder="1" applyAlignment="1">
      <alignment horizontal="center" vertical="bottom"/>
      <protection locked="1" hidden="1"/>
    </xf>
    <xf numFmtId="0" fontId="10" fillId="44" borderId="8" xfId="1" applyFont="1" applyFill="1" applyBorder="1" applyAlignment="1">
      <alignment horizontal="center" vertical="bottom"/>
      <protection locked="1" hidden="1"/>
    </xf>
    <xf numFmtId="0" fontId="2" fillId="45" borderId="1" xfId="1" applyFont="1" applyFill="1" applyBorder="1" applyAlignment="1">
      <alignment horizontal="center" vertical="center"/>
      <protection locked="1" hidden="1"/>
    </xf>
    <xf numFmtId="2" fontId="23" fillId="46" borderId="1" xfId="1" applyNumberFormat="1" applyFont="1" applyFill="1" applyBorder="1" applyAlignment="1">
      <alignment horizontal="center" vertical="center"/>
      <protection locked="0" hidden="0"/>
    </xf>
    <xf numFmtId="167" fontId="23" fillId="28" borderId="1" xfId="1" applyNumberFormat="1" applyFont="1" applyFill="1" applyBorder="1" applyAlignment="1">
      <alignment horizontal="center" vertical="center"/>
      <protection locked="0" hidden="0"/>
    </xf>
    <xf numFmtId="0" fontId="2" fillId="47" borderId="1" xfId="1" applyFont="1" applyFill="1" applyBorder="1" applyAlignment="1">
      <alignment horizontal="center" vertical="center"/>
      <protection locked="1" hidden="1"/>
    </xf>
    <xf numFmtId="0" fontId="23" fillId="28" borderId="1" xfId="1" applyFont="1" applyFill="1" applyBorder="1" applyAlignment="1">
      <alignment horizontal="center" vertical="center"/>
      <protection locked="0" hidden="0"/>
    </xf>
    <xf numFmtId="10" fontId="23" fillId="28" borderId="1" xfId="1" applyNumberFormat="1" applyFont="1" applyFill="1" applyBorder="1" applyAlignment="1">
      <alignment horizontal="center" vertical="center"/>
      <protection locked="0" hidden="0"/>
    </xf>
    <xf numFmtId="167" fontId="24" fillId="11" borderId="1" xfId="1" applyNumberFormat="1" applyFont="1" applyFill="1" applyBorder="1" applyAlignment="1">
      <alignment horizontal="center" vertical="center"/>
      <protection locked="1" hidden="1"/>
    </xf>
    <xf numFmtId="0" fontId="21" fillId="0" borderId="0" xfId="0" applyFont="1" applyAlignment="1">
      <alignment horizontal="center" vertical="center"/>
      <protection locked="1" hidden="1"/>
    </xf>
    <xf numFmtId="0" fontId="2" fillId="48" borderId="7" xfId="1" applyFont="1" applyFill="1" applyBorder="1" applyAlignment="1">
      <alignment horizontal="center" vertical="center"/>
      <protection locked="1" hidden="1"/>
    </xf>
    <xf numFmtId="0" fontId="2" fillId="48" borderId="8" xfId="1" applyFont="1" applyFill="1" applyBorder="1" applyAlignment="1">
      <alignment horizontal="center" vertical="center"/>
      <protection locked="1" hidden="1"/>
    </xf>
    <xf numFmtId="0" fontId="6" fillId="32" borderId="1" xfId="1" applyFont="1" applyFill="1" applyBorder="1" applyAlignment="1">
      <alignment horizontal="center" vertical="bottom"/>
      <protection locked="1" hidden="1"/>
    </xf>
    <xf numFmtId="0" fontId="25" fillId="0" borderId="0" xfId="0" applyFont="1" applyAlignment="1">
      <alignment horizontal="center" vertical="center"/>
      <protection locked="1" hidden="1"/>
    </xf>
    <xf numFmtId="167" fontId="24" fillId="44" borderId="1" xfId="1" applyNumberFormat="1" applyFont="1" applyFill="1" applyBorder="1" applyAlignment="1">
      <alignment horizontal="center" vertical="center"/>
      <protection locked="1" hidden="1"/>
    </xf>
    <xf numFmtId="0" fontId="26" fillId="0" borderId="0" xfId="3" applyFont="1" applyFill="1">
      <alignment vertical="center"/>
    </xf>
    <xf numFmtId="0" fontId="10" fillId="44" borderId="7" xfId="1" applyFont="1" applyFill="1" applyBorder="1" applyAlignment="1">
      <alignment horizontal="center" vertical="center"/>
      <protection locked="1" hidden="1"/>
    </xf>
    <xf numFmtId="0" fontId="10" fillId="44" borderId="8" xfId="1" applyFont="1" applyFill="1" applyBorder="1" applyAlignment="1">
      <alignment horizontal="center" vertical="center"/>
      <protection locked="1" hidden="1"/>
    </xf>
    <xf numFmtId="0" fontId="27" fillId="49" borderId="9" xfId="0" applyFont="1" applyFill="1" applyBorder="1" applyAlignment="1">
      <alignment horizontal="center" vertical="center"/>
      <protection locked="1" hidden="1"/>
    </xf>
    <xf numFmtId="0" fontId="27" fillId="49" borderId="10" xfId="0" applyFont="1" applyFill="1" applyBorder="1" applyAlignment="1">
      <alignment horizontal="center" vertical="center"/>
      <protection locked="1" hidden="1"/>
    </xf>
    <xf numFmtId="0" fontId="27" fillId="49" borderId="11" xfId="0" applyFont="1" applyFill="1" applyBorder="1" applyAlignment="1">
      <alignment horizontal="center" vertical="center"/>
      <protection locked="1" hidden="1"/>
    </xf>
    <xf numFmtId="0" fontId="27" fillId="49" borderId="12" xfId="0" applyFont="1" applyFill="1" applyBorder="1" applyAlignment="1">
      <alignment horizontal="center" vertical="center"/>
      <protection locked="1" hidden="1"/>
    </xf>
    <xf numFmtId="0" fontId="27" fillId="49" borderId="13" xfId="0" applyFont="1" applyFill="1" applyBorder="1" applyAlignment="1">
      <alignment horizontal="center" vertical="center"/>
      <protection locked="1" hidden="1"/>
    </xf>
    <xf numFmtId="0" fontId="27" fillId="49" borderId="14" xfId="0" applyFont="1" applyFill="1" applyBorder="1" applyAlignment="1">
      <alignment horizontal="center" vertical="center"/>
      <protection locked="1" hidden="1"/>
    </xf>
    <xf numFmtId="0" fontId="28" fillId="0" borderId="0" xfId="0" applyFont="1" applyAlignment="1">
      <alignment horizontal="center" vertical="center"/>
      <protection locked="1" hidden="1"/>
    </xf>
    <xf numFmtId="0" fontId="29" fillId="0" borderId="0" xfId="0" applyFont="1" applyAlignment="1">
      <alignment horizontal="center" vertical="center"/>
      <protection locked="1" hidden="1"/>
    </xf>
    <xf numFmtId="0" fontId="1" fillId="0" borderId="0" xfId="0" applyFont="1" applyAlignment="1">
      <alignment horizontal="left" vertical="center"/>
      <protection locked="0" hidden="0"/>
    </xf>
    <xf numFmtId="0" fontId="1" fillId="0" borderId="0" xfId="0" applyFont="1" applyAlignment="1">
      <alignment horizontal="center" vertical="center"/>
      <protection locked="0" hidden="0"/>
    </xf>
    <xf numFmtId="0" fontId="11" fillId="0" borderId="0" xfId="1" applyAlignment="1">
      <alignment horizontal="center" vertical="center"/>
      <protection locked="0" hidden="0"/>
    </xf>
    <xf numFmtId="0" fontId="30" fillId="50" borderId="7" xfId="1" applyNumberFormat="1" applyFont="1" applyFill="1" applyBorder="1" applyAlignment="1">
      <alignment horizontal="center" vertical="center"/>
      <protection locked="0" hidden="0"/>
    </xf>
    <xf numFmtId="0" fontId="30" fillId="50" borderId="8" xfId="1" applyNumberFormat="1" applyFont="1" applyFill="1" applyBorder="1" applyAlignment="1">
      <alignment horizontal="center" vertical="center"/>
      <protection locked="0" hidden="0"/>
    </xf>
    <xf numFmtId="0" fontId="18" fillId="46" borderId="15" xfId="4" applyFont="1" applyFill="1" applyBorder="1" applyAlignment="1">
      <alignment horizontal="center" vertical="center"/>
    </xf>
    <xf numFmtId="0" fontId="18" fillId="46" borderId="16" xfId="4" applyFont="1" applyFill="1" applyBorder="1" applyAlignment="1">
      <alignment horizontal="center" vertical="center"/>
    </xf>
    <xf numFmtId="0" fontId="18" fillId="46" borderId="17" xfId="4" applyFont="1" applyFill="1" applyBorder="1" applyAlignment="1">
      <alignment horizontal="center" vertical="center"/>
    </xf>
    <xf numFmtId="0" fontId="31" fillId="31" borderId="1" xfId="5" applyFont="1" applyFill="1" applyBorder="1" applyAlignment="1">
      <alignment horizontal="center" vertical="center"/>
      <protection locked="0" hidden="0"/>
    </xf>
    <xf numFmtId="0" fontId="32" fillId="31" borderId="1" xfId="5" applyFont="1" applyFill="1" applyBorder="1" applyAlignment="1">
      <alignment horizontal="center" vertical="center"/>
      <protection locked="0" hidden="0"/>
    </xf>
    <xf numFmtId="0" fontId="33" fillId="31" borderId="1" xfId="5" applyFont="1" applyFill="1" applyBorder="1" applyAlignment="1">
      <alignment horizontal="center" vertical="center"/>
      <protection locked="0" hidden="0"/>
    </xf>
    <xf numFmtId="0" fontId="11" fillId="0" borderId="0" xfId="1" applyFill="1" applyAlignment="1">
      <alignment horizontal="center" vertical="center"/>
      <protection locked="0" hidden="0"/>
    </xf>
    <xf numFmtId="0" fontId="11" fillId="46" borderId="3" xfId="1" applyFill="1" applyBorder="1" applyAlignment="1">
      <alignment horizontal="center" vertical="center"/>
      <protection locked="0" hidden="0"/>
    </xf>
    <xf numFmtId="0" fontId="34" fillId="27" borderId="2" xfId="1" applyFont="1" applyFill="1" applyBorder="1" applyAlignment="1">
      <alignment horizontal="center" vertical="center"/>
      <protection locked="0" hidden="0"/>
    </xf>
    <xf numFmtId="0" fontId="35" fillId="27" borderId="2" xfId="1" applyFont="1" applyFill="1" applyBorder="1" applyAlignment="1">
      <alignment horizontal="center" vertical="center"/>
      <protection locked="0" hidden="0"/>
    </xf>
    <xf numFmtId="0" fontId="36" fillId="0" borderId="18" xfId="1" applyFont="1" applyBorder="1" applyAlignment="1">
      <alignment horizontal="center" vertical="center"/>
      <protection locked="0" hidden="0"/>
    </xf>
    <xf numFmtId="0" fontId="37" fillId="27" borderId="2" xfId="1" applyFont="1" applyFill="1" applyBorder="1" applyAlignment="1">
      <alignment horizontal="center" vertical="center"/>
      <protection locked="0" hidden="0"/>
    </xf>
    <xf numFmtId="0" fontId="38" fillId="27" borderId="2" xfId="1" applyFont="1" applyFill="1" applyBorder="1" applyAlignment="1">
      <alignment horizontal="center" vertical="center"/>
      <protection locked="0" hidden="0"/>
    </xf>
    <xf numFmtId="0" fontId="11" fillId="46" borderId="19" xfId="1" applyFill="1" applyBorder="1" applyAlignment="1">
      <alignment horizontal="center" vertical="center"/>
      <protection locked="0" hidden="0"/>
    </xf>
    <xf numFmtId="0" fontId="39" fillId="27" borderId="3" xfId="1" applyFont="1" applyFill="1" applyBorder="1" applyAlignment="1">
      <alignment horizontal="center" vertical="center" wrapText="1"/>
      <protection locked="0" hidden="0"/>
    </xf>
    <xf numFmtId="0" fontId="11" fillId="42" borderId="17" xfId="1" applyFill="1" applyBorder="1" applyAlignment="1">
      <alignment horizontal="center" vertical="center"/>
      <protection locked="0" hidden="0"/>
    </xf>
    <xf numFmtId="2" fontId="11" fillId="27" borderId="2" xfId="1" applyNumberFormat="1" applyFill="1" applyBorder="1" applyAlignment="1">
      <alignment horizontal="center" vertical="center"/>
      <protection locked="0" hidden="0"/>
    </xf>
    <xf numFmtId="0" fontId="36" fillId="0" borderId="0" xfId="1" applyFont="1" applyAlignment="1">
      <alignment horizontal="center" vertical="center"/>
      <protection locked="0" hidden="0"/>
    </xf>
    <xf numFmtId="0" fontId="39" fillId="27" borderId="19" xfId="1" applyFont="1" applyFill="1" applyBorder="1" applyAlignment="1">
      <alignment horizontal="center" vertical="center" wrapText="1"/>
      <protection locked="0" hidden="0"/>
    </xf>
    <xf numFmtId="0" fontId="11" fillId="42" borderId="2" xfId="1" applyFill="1" applyBorder="1" applyAlignment="1">
      <alignment horizontal="center" vertical="center"/>
      <protection locked="0" hidden="0"/>
    </xf>
    <xf numFmtId="0" fontId="11" fillId="6" borderId="2" xfId="1" applyFill="1" applyBorder="1" applyAlignment="1">
      <alignment horizontal="center" vertical="center"/>
      <protection locked="0" hidden="0"/>
    </xf>
    <xf numFmtId="0" fontId="11" fillId="27" borderId="5" xfId="1" applyFont="1" applyFill="1" applyBorder="1" applyAlignment="1">
      <alignment horizontal="center" vertical="center" wrapText="1"/>
      <protection locked="0" hidden="0"/>
    </xf>
    <xf numFmtId="0" fontId="11" fillId="28" borderId="2" xfId="1" applyFill="1" applyBorder="1" applyAlignment="1">
      <alignment horizontal="center" vertical="center"/>
      <protection locked="0" hidden="0"/>
    </xf>
    <xf numFmtId="0" fontId="11" fillId="0" borderId="15" xfId="1" applyBorder="1" applyAlignment="1">
      <alignment horizontal="center" vertical="center"/>
      <protection locked="0" hidden="0"/>
    </xf>
    <xf numFmtId="0" fontId="11" fillId="0" borderId="17" xfId="1" applyBorder="1" applyAlignment="1">
      <alignment horizontal="center" vertical="center"/>
      <protection locked="0" hidden="0"/>
    </xf>
    <xf numFmtId="0" fontId="36" fillId="42" borderId="0" xfId="1" applyFont="1" applyFill="1" applyAlignment="1">
      <alignment horizontal="center" vertical="center"/>
      <protection locked="0" hidden="0"/>
    </xf>
    <xf numFmtId="0" fontId="40" fillId="27" borderId="5" xfId="1" applyFont="1" applyFill="1" applyBorder="1" applyAlignment="1">
      <alignment horizontal="center" vertical="center" wrapText="1"/>
      <protection locked="0" hidden="0"/>
    </xf>
    <xf numFmtId="0" fontId="1" fillId="42" borderId="2" xfId="1" applyFont="1" applyFill="1" applyBorder="1" applyAlignment="1">
      <alignment horizontal="center" vertical="center"/>
      <protection locked="0" hidden="0"/>
    </xf>
    <xf numFmtId="0" fontId="1" fillId="6" borderId="2" xfId="1" applyFont="1" applyFill="1" applyBorder="1" applyAlignment="1">
      <alignment horizontal="center" vertical="center"/>
      <protection locked="0" hidden="0"/>
    </xf>
    <xf numFmtId="2" fontId="11" fillId="0" borderId="0" xfId="1" applyNumberFormat="1" applyBorder="1" applyAlignment="1">
      <alignment horizontal="center" vertical="center"/>
      <protection locked="0" hidden="0"/>
    </xf>
    <xf numFmtId="2" fontId="11" fillId="0" borderId="2" xfId="1" applyNumberFormat="1" applyBorder="1" applyAlignment="1">
      <alignment horizontal="center" vertical="center"/>
      <protection locked="0" hidden="0"/>
    </xf>
    <xf numFmtId="2" fontId="11" fillId="27" borderId="3" xfId="1" applyNumberFormat="1" applyFill="1" applyBorder="1" applyAlignment="1">
      <alignment horizontal="center" vertical="center"/>
      <protection locked="0" hidden="0"/>
    </xf>
    <xf numFmtId="0" fontId="41" fillId="27" borderId="2" xfId="1" applyFont="1" applyFill="1" applyBorder="1" applyAlignment="1">
      <alignment horizontal="center" vertical="center"/>
      <protection locked="0" hidden="0"/>
    </xf>
    <xf numFmtId="0" fontId="42" fillId="27" borderId="2" xfId="1" applyFont="1" applyFill="1" applyBorder="1" applyAlignment="1">
      <alignment horizontal="center" vertical="center"/>
      <protection locked="0" hidden="0"/>
    </xf>
    <xf numFmtId="0" fontId="36" fillId="0" borderId="0" xfId="1" applyFont="1" applyBorder="1" applyAlignment="1">
      <alignment horizontal="center" vertical="center"/>
      <protection locked="0" hidden="0"/>
    </xf>
    <xf numFmtId="0" fontId="11" fillId="27" borderId="2" xfId="1" applyFill="1" applyBorder="1" applyAlignment="1">
      <alignment horizontal="center" vertical="center"/>
      <protection locked="0" hidden="0"/>
    </xf>
    <xf numFmtId="0" fontId="43" fillId="27" borderId="2" xfId="1" applyFont="1" applyFill="1" applyBorder="1" applyAlignment="1">
      <alignment horizontal="center" vertical="center"/>
      <protection locked="0" hidden="0"/>
    </xf>
    <xf numFmtId="0" fontId="1" fillId="28" borderId="2" xfId="1" applyFont="1" applyFill="1" applyBorder="1" applyAlignment="1">
      <alignment horizontal="center" vertical="center"/>
      <protection locked="0" hidden="0"/>
    </xf>
    <xf numFmtId="0" fontId="31" fillId="0" borderId="0" xfId="1" applyFont="1" applyAlignment="1">
      <alignment horizontal="center" vertical="center"/>
      <protection locked="0" hidden="0"/>
    </xf>
    <xf numFmtId="0" fontId="44" fillId="46" borderId="9" xfId="4" applyFont="1" applyFill="1" applyBorder="1" applyAlignment="1">
      <alignment horizontal="center" vertical="center"/>
    </xf>
    <xf numFmtId="0" fontId="44" fillId="46" borderId="10" xfId="4" applyFont="1" applyFill="1" applyBorder="1" applyAlignment="1">
      <alignment horizontal="center" vertical="center"/>
    </xf>
    <xf numFmtId="0" fontId="44" fillId="46" borderId="11" xfId="4" applyFont="1" applyFill="1" applyBorder="1" applyAlignment="1">
      <alignment horizontal="center" vertical="center"/>
    </xf>
    <xf numFmtId="0" fontId="44" fillId="46" borderId="12" xfId="4" applyFont="1" applyFill="1" applyBorder="1" applyAlignment="1">
      <alignment horizontal="center" vertical="center"/>
    </xf>
    <xf numFmtId="0" fontId="44" fillId="46" borderId="13" xfId="4" applyFont="1" applyFill="1" applyBorder="1" applyAlignment="1">
      <alignment horizontal="center" vertical="center"/>
    </xf>
    <xf numFmtId="0" fontId="44" fillId="46" borderId="14" xfId="4" applyFont="1" applyFill="1" applyBorder="1" applyAlignment="1">
      <alignment horizontal="center" vertical="center"/>
    </xf>
    <xf numFmtId="0" fontId="11" fillId="46" borderId="5" xfId="1" applyFill="1" applyBorder="1" applyAlignment="1">
      <alignment horizontal="center" vertical="center"/>
      <protection locked="0" hidden="0"/>
    </xf>
    <xf numFmtId="0" fontId="11" fillId="46" borderId="15" xfId="1" applyFill="1" applyBorder="1" applyAlignment="1">
      <alignment horizontal="center" vertical="center"/>
    </xf>
    <xf numFmtId="0" fontId="11" fillId="46" borderId="16" xfId="1" applyFill="1" applyBorder="1" applyAlignment="1">
      <alignment horizontal="center" vertical="center"/>
    </xf>
    <xf numFmtId="0" fontId="11" fillId="46" borderId="17" xfId="1" applyFill="1" applyBorder="1" applyAlignment="1">
      <alignment horizontal="center" vertical="center"/>
    </xf>
    <xf numFmtId="0" fontId="11" fillId="46" borderId="2" xfId="1" applyFill="1" applyBorder="1" applyAlignment="1">
      <alignment horizontal="center" vertical="center"/>
      <protection locked="0" hidden="0"/>
    </xf>
    <xf numFmtId="0" fontId="45" fillId="27" borderId="2" xfId="1" applyFont="1" applyFill="1" applyBorder="1" applyAlignment="1">
      <alignment horizontal="center" vertical="center"/>
      <protection locked="0" hidden="0"/>
    </xf>
    <xf numFmtId="0" fontId="46" fillId="27" borderId="2" xfId="1" applyFont="1" applyFill="1" applyBorder="1" applyAlignment="1">
      <alignment horizontal="center" vertical="center"/>
      <protection locked="0" hidden="0"/>
    </xf>
    <xf numFmtId="2" fontId="11" fillId="27" borderId="2" xfId="1" applyNumberFormat="1" applyFont="1" applyFill="1" applyBorder="1" applyAlignment="1">
      <alignment horizontal="center" vertical="center"/>
      <protection locked="0" hidden="0"/>
    </xf>
    <xf numFmtId="0" fontId="47" fillId="27" borderId="2" xfId="1" applyFont="1" applyFill="1" applyBorder="1" applyAlignment="1">
      <alignment horizontal="center" vertical="center"/>
      <protection locked="0" hidden="0"/>
    </xf>
    <xf numFmtId="0" fontId="48" fillId="27" borderId="2" xfId="1" applyFont="1" applyFill="1" applyBorder="1" applyAlignment="1">
      <alignment horizontal="center" vertical="center"/>
      <protection locked="0" hidden="0"/>
    </xf>
    <xf numFmtId="0" fontId="49" fillId="27" borderId="2" xfId="1" applyFont="1" applyFill="1" applyBorder="1" applyAlignment="1">
      <alignment horizontal="center" vertical="center"/>
      <protection locked="0" hidden="0"/>
    </xf>
    <xf numFmtId="0" fontId="1" fillId="27" borderId="5" xfId="1" applyFont="1" applyFill="1" applyBorder="1" applyAlignment="1">
      <alignment horizontal="center" vertical="center" wrapText="1"/>
      <protection locked="0" hidden="0"/>
    </xf>
    <xf numFmtId="0" fontId="50" fillId="27" borderId="2" xfId="1" applyFont="1" applyFill="1" applyBorder="1" applyAlignment="1">
      <alignment horizontal="center" vertical="center"/>
      <protection locked="0" hidden="0"/>
    </xf>
    <xf numFmtId="0" fontId="39" fillId="27" borderId="2" xfId="1" applyFont="1" applyFill="1" applyBorder="1" applyAlignment="1">
      <alignment horizontal="center" vertical="center"/>
      <protection locked="0" hidden="0"/>
    </xf>
    <xf numFmtId="0" fontId="11" fillId="0" borderId="0" xfId="1" applyBorder="1" applyAlignment="1">
      <alignment horizontal="center" vertical="center"/>
      <protection locked="0" hidden="0"/>
    </xf>
    <xf numFmtId="0" fontId="1" fillId="0" borderId="0" xfId="1" applyFont="1" applyAlignment="1">
      <alignment horizontal="center" vertical="center"/>
      <protection locked="0" hidden="0"/>
    </xf>
    <xf numFmtId="0" fontId="51" fillId="27" borderId="2" xfId="1" applyFont="1" applyFill="1" applyBorder="1" applyAlignment="1">
      <alignment horizontal="center" vertical="center"/>
      <protection locked="0" hidden="0"/>
    </xf>
    <xf numFmtId="0" fontId="1" fillId="49" borderId="0" xfId="0" applyFont="1" applyFill="1" applyAlignment="1">
      <alignment horizontal="center" vertical="center"/>
      <protection locked="1" hidden="1"/>
    </xf>
    <xf numFmtId="0" fontId="39" fillId="51" borderId="9" xfId="0" applyFont="1" applyFill="1" applyBorder="1" applyAlignment="1">
      <alignment horizontal="center" vertical="center"/>
      <protection locked="1" hidden="1"/>
    </xf>
    <xf numFmtId="0" fontId="39" fillId="51" borderId="10" xfId="0" applyFont="1" applyFill="1" applyBorder="1" applyAlignment="1">
      <alignment horizontal="center" vertical="center"/>
      <protection locked="1" hidden="1"/>
    </xf>
    <xf numFmtId="0" fontId="39" fillId="51" borderId="11" xfId="0" applyFont="1" applyFill="1" applyBorder="1" applyAlignment="1">
      <alignment horizontal="center" vertical="center"/>
      <protection locked="1" hidden="1"/>
    </xf>
    <xf numFmtId="0" fontId="52" fillId="43" borderId="2" xfId="0" applyFont="1" applyFill="1" applyBorder="1" applyAlignment="1">
      <alignment horizontal="center" vertical="center"/>
      <protection locked="1" hidden="1"/>
    </xf>
    <xf numFmtId="2" fontId="53" fillId="51" borderId="2" xfId="0" applyNumberFormat="1" applyFont="1" applyFill="1" applyBorder="1" applyAlignment="1">
      <alignment horizontal="center" vertical="center"/>
      <protection locked="0" hidden="0"/>
    </xf>
    <xf numFmtId="0" fontId="52" fillId="52" borderId="2" xfId="0" applyFont="1" applyFill="1" applyBorder="1" applyAlignment="1">
      <alignment horizontal="center" vertical="center"/>
      <protection locked="1" hidden="1"/>
    </xf>
    <xf numFmtId="0" fontId="52" fillId="43" borderId="9" xfId="0" applyFont="1" applyFill="1" applyBorder="1" applyAlignment="1">
      <alignment horizontal="center" vertical="center"/>
      <protection locked="1" hidden="1"/>
    </xf>
    <xf numFmtId="0" fontId="52" fillId="43" borderId="10" xfId="0" applyFont="1" applyFill="1" applyBorder="1" applyAlignment="1">
      <alignment horizontal="center" vertical="center"/>
      <protection locked="1" hidden="1"/>
    </xf>
    <xf numFmtId="0" fontId="52" fillId="43" borderId="11" xfId="0" applyFont="1" applyFill="1" applyBorder="1" applyAlignment="1">
      <alignment horizontal="center" vertical="center"/>
      <protection locked="1" hidden="1"/>
    </xf>
    <xf numFmtId="0" fontId="54" fillId="0" borderId="0" xfId="0" applyFont="1" applyAlignment="1">
      <alignment horizontal="center" vertical="center"/>
      <protection locked="1" hidden="1"/>
    </xf>
    <xf numFmtId="0" fontId="39" fillId="51" borderId="12" xfId="0" applyFont="1" applyFill="1" applyBorder="1" applyAlignment="1">
      <alignment horizontal="center" vertical="center"/>
      <protection locked="1" hidden="1"/>
    </xf>
    <xf numFmtId="0" fontId="39" fillId="51" borderId="13" xfId="0" applyFont="1" applyFill="1" applyBorder="1" applyAlignment="1">
      <alignment horizontal="center" vertical="center"/>
      <protection locked="1" hidden="1"/>
    </xf>
    <xf numFmtId="0" fontId="39" fillId="51" borderId="14" xfId="0" applyFont="1" applyFill="1" applyBorder="1" applyAlignment="1">
      <alignment horizontal="center" vertical="center"/>
      <protection locked="1" hidden="1"/>
    </xf>
    <xf numFmtId="0" fontId="52" fillId="43" borderId="12" xfId="0" applyFont="1" applyFill="1" applyBorder="1" applyAlignment="1">
      <alignment horizontal="center" vertical="center"/>
      <protection locked="1" hidden="1"/>
    </xf>
    <xf numFmtId="0" fontId="52" fillId="43" borderId="13" xfId="0" applyFont="1" applyFill="1" applyBorder="1" applyAlignment="1">
      <alignment horizontal="center" vertical="center"/>
      <protection locked="1" hidden="1"/>
    </xf>
    <xf numFmtId="0" fontId="52" fillId="43" borderId="14" xfId="0" applyFont="1" applyFill="1" applyBorder="1" applyAlignment="1">
      <alignment horizontal="center" vertical="center"/>
      <protection locked="1" hidden="1"/>
    </xf>
    <xf numFmtId="0" fontId="39" fillId="27" borderId="2" xfId="1" applyFont="1" applyFill="1" applyBorder="1" applyAlignment="1">
      <alignment horizontal="center" vertical="center"/>
      <protection locked="1" hidden="1"/>
    </xf>
    <xf numFmtId="0" fontId="55" fillId="42" borderId="2" xfId="0" applyFont="1" applyFill="1" applyBorder="1" applyAlignment="1">
      <alignment horizontal="center" vertical="center"/>
      <protection locked="1" hidden="1"/>
    </xf>
    <xf numFmtId="0" fontId="55" fillId="42" borderId="2" xfId="0" applyFont="1" applyFill="1" applyBorder="1" applyAlignment="1">
      <alignment horizontal="center" vertical="center"/>
    </xf>
    <xf numFmtId="10" fontId="11" fillId="0" borderId="0" xfId="6" applyNumberFormat="1" applyFont="1" applyAlignment="1">
      <alignment horizontal="center" vertical="center"/>
      <protection locked="1" hidden="1"/>
    </xf>
    <xf numFmtId="164" fontId="1" fillId="0" borderId="0" xfId="0" applyNumberFormat="1" applyFont="1" applyAlignment="1">
      <alignment horizontal="center" vertical="center"/>
      <protection locked="1" hidden="1"/>
    </xf>
    <xf numFmtId="0" fontId="55" fillId="47" borderId="2" xfId="0" applyFont="1" applyFill="1" applyBorder="1" applyAlignment="1">
      <alignment horizontal="center" vertical="center"/>
      <protection locked="1" hidden="1"/>
    </xf>
    <xf numFmtId="0" fontId="55" fillId="26" borderId="2" xfId="0" applyFont="1" applyFill="1" applyBorder="1" applyAlignment="1">
      <alignment horizontal="center" vertical="center"/>
      <protection locked="1" hidden="1"/>
    </xf>
    <xf numFmtId="0" fontId="55" fillId="47" borderId="2" xfId="0" applyFont="1" applyFill="1" applyBorder="1" applyAlignment="1">
      <alignment horizontal="center" vertical="center"/>
    </xf>
    <xf numFmtId="0" fontId="55" fillId="26" borderId="2" xfId="0" applyFont="1" applyFill="1" applyBorder="1" applyAlignment="1">
      <alignment horizontal="center" vertical="center"/>
    </xf>
    <xf numFmtId="0" fontId="56" fillId="53" borderId="20" xfId="7" applyFont="1" applyFill="1" applyBorder="1" applyAlignment="1">
      <alignment horizontal="center" vertical="center"/>
      <protection locked="1" hidden="1"/>
    </xf>
    <xf numFmtId="0" fontId="13" fillId="42" borderId="20" xfId="1" applyFont="1" applyFill="1" applyBorder="1" applyAlignment="1">
      <alignment horizontal="center" vertical="center"/>
      <protection locked="1" hidden="1"/>
    </xf>
    <xf numFmtId="0" fontId="55" fillId="47" borderId="9" xfId="0" applyFont="1" applyFill="1" applyBorder="1" applyAlignment="1">
      <alignment horizontal="center" vertical="center"/>
      <protection locked="1" hidden="1"/>
    </xf>
    <xf numFmtId="164" fontId="55" fillId="47" borderId="11" xfId="0" applyNumberFormat="1" applyFont="1" applyFill="1" applyBorder="1" applyAlignment="1">
      <alignment horizontal="center" vertical="center"/>
      <protection locked="1" hidden="1"/>
    </xf>
    <xf numFmtId="0" fontId="55" fillId="26" borderId="9" xfId="0" applyFont="1" applyFill="1" applyBorder="1" applyAlignment="1">
      <alignment horizontal="center" vertical="center"/>
      <protection locked="1" hidden="1"/>
    </xf>
    <xf numFmtId="164" fontId="55" fillId="26" borderId="11" xfId="0" applyNumberFormat="1" applyFont="1" applyFill="1" applyBorder="1" applyAlignment="1">
      <alignment horizontal="center" vertical="center"/>
      <protection locked="1" hidden="1"/>
    </xf>
    <xf numFmtId="0" fontId="55" fillId="47" borderId="18" xfId="0" applyFont="1" applyFill="1" applyBorder="1" applyAlignment="1">
      <alignment horizontal="center" vertical="center"/>
    </xf>
    <xf numFmtId="164" fontId="55" fillId="47" borderId="21" xfId="0" applyNumberFormat="1" applyFont="1" applyFill="1" applyBorder="1" applyAlignment="1">
      <alignment horizontal="center" vertical="center"/>
    </xf>
    <xf numFmtId="0" fontId="55" fillId="26" borderId="9" xfId="0" applyFont="1" applyFill="1" applyBorder="1" applyAlignment="1">
      <alignment horizontal="center" vertical="center"/>
    </xf>
    <xf numFmtId="164" fontId="55" fillId="26" borderId="11" xfId="0" applyNumberFormat="1" applyFont="1" applyFill="1" applyBorder="1" applyAlignment="1">
      <alignment horizontal="center" vertical="center"/>
    </xf>
    <xf numFmtId="0" fontId="55" fillId="47" borderId="9" xfId="0" applyFont="1" applyFill="1" applyBorder="1" applyAlignment="1">
      <alignment horizontal="center" vertical="center"/>
    </xf>
    <xf numFmtId="164" fontId="55" fillId="47" borderId="11" xfId="0" applyNumberFormat="1" applyFont="1" applyFill="1" applyBorder="1" applyAlignment="1">
      <alignment horizontal="center" vertical="center"/>
    </xf>
    <xf numFmtId="0" fontId="54" fillId="54" borderId="20" xfId="7" applyFont="1" applyFill="1" applyBorder="1" applyAlignment="1">
      <alignment horizontal="center" vertical="center"/>
      <protection locked="1" hidden="1"/>
    </xf>
    <xf numFmtId="2" fontId="13" fillId="55" borderId="20" xfId="7" applyNumberFormat="1" applyFont="1" applyFill="1" applyBorder="1" applyAlignment="1">
      <alignment horizontal="center" vertical="center"/>
      <protection locked="1" hidden="1"/>
    </xf>
    <xf numFmtId="2" fontId="54" fillId="56" borderId="20" xfId="7" applyNumberFormat="1" applyFont="1" applyFill="1" applyBorder="1" applyAlignment="1">
      <alignment horizontal="center" vertical="center"/>
      <protection locked="1" hidden="1"/>
    </xf>
    <xf numFmtId="0" fontId="55" fillId="47" borderId="18" xfId="0" applyFont="1" applyFill="1" applyBorder="1" applyAlignment="1">
      <alignment horizontal="center" vertical="center"/>
      <protection locked="1" hidden="1"/>
    </xf>
    <xf numFmtId="164" fontId="55" fillId="47" borderId="21" xfId="0" applyNumberFormat="1" applyFont="1" applyFill="1" applyBorder="1" applyAlignment="1">
      <alignment horizontal="center" vertical="center"/>
      <protection locked="1" hidden="1"/>
    </xf>
    <xf numFmtId="0" fontId="55" fillId="26" borderId="18" xfId="0" applyFont="1" applyFill="1" applyBorder="1" applyAlignment="1">
      <alignment horizontal="center" vertical="center"/>
      <protection locked="1" hidden="1"/>
    </xf>
    <xf numFmtId="164" fontId="55" fillId="26" borderId="21" xfId="0" applyNumberFormat="1" applyFont="1" applyFill="1" applyBorder="1" applyAlignment="1">
      <alignment horizontal="center" vertical="center"/>
      <protection locked="1" hidden="1"/>
    </xf>
    <xf numFmtId="0" fontId="55" fillId="26" borderId="18" xfId="0" applyFont="1" applyFill="1" applyBorder="1" applyAlignment="1">
      <alignment horizontal="center" vertical="center"/>
    </xf>
    <xf numFmtId="164" fontId="55" fillId="26" borderId="21" xfId="0" applyNumberFormat="1" applyFont="1" applyFill="1" applyBorder="1" applyAlignment="1">
      <alignment horizontal="center" vertical="center"/>
    </xf>
    <xf numFmtId="0" fontId="13" fillId="57" borderId="2" xfId="0" applyFont="1" applyFill="1" applyBorder="1" applyAlignment="1">
      <alignment horizontal="center" vertical="center"/>
      <protection locked="1" hidden="1"/>
    </xf>
    <xf numFmtId="0" fontId="57" fillId="0" borderId="22" xfId="7" applyFont="1" applyFill="1" applyBorder="1" applyAlignment="1">
      <alignment horizontal="center" vertical="center"/>
      <protection locked="1" hidden="1"/>
    </xf>
    <xf numFmtId="2" fontId="11" fillId="0" borderId="22" xfId="7" applyNumberFormat="1" applyFont="1" applyFill="1" applyBorder="1" applyAlignment="1">
      <alignment horizontal="center" vertical="center"/>
      <protection locked="1" hidden="1"/>
    </xf>
    <xf numFmtId="0" fontId="1" fillId="0" borderId="0" xfId="0" applyFont="1" applyFill="1" applyAlignment="1">
      <alignment horizontal="center" vertical="center"/>
      <protection locked="1" hidden="1"/>
    </xf>
    <xf numFmtId="0" fontId="1" fillId="57" borderId="2" xfId="0" applyFont="1" applyFill="1" applyBorder="1" applyAlignment="1">
      <alignment horizontal="center" vertical="center"/>
      <protection locked="1" hidden="1"/>
    </xf>
    <xf numFmtId="0" fontId="1" fillId="58" borderId="2" xfId="0" applyFill="1" applyBorder="1" applyAlignment="1">
      <alignment horizontal="center" vertical="center"/>
    </xf>
    <xf numFmtId="0" fontId="1" fillId="58" borderId="2" xfId="0" applyFont="1" applyFill="1" applyBorder="1" applyAlignment="1">
      <alignment horizontal="center" vertical="center"/>
      <protection locked="1" hidden="1"/>
    </xf>
    <xf numFmtId="2" fontId="1" fillId="57" borderId="2" xfId="0" applyNumberFormat="1" applyFont="1" applyFill="1" applyBorder="1" applyAlignment="1">
      <alignment horizontal="center" vertical="center"/>
      <protection locked="1" hidden="1"/>
    </xf>
    <xf numFmtId="164" fontId="54" fillId="59" borderId="2" xfId="7" applyNumberFormat="1" applyFont="1" applyFill="1" applyBorder="1" applyAlignment="1">
      <alignment horizontal="center" vertical="center"/>
      <protection locked="1" hidden="1"/>
    </xf>
    <xf numFmtId="164" fontId="13" fillId="60" borderId="2" xfId="7" applyNumberFormat="1" applyFont="1" applyFill="1" applyBorder="1" applyAlignment="1">
      <alignment horizontal="center" vertical="center"/>
      <protection locked="1" hidden="1"/>
    </xf>
    <xf numFmtId="164" fontId="54" fillId="61" borderId="2" xfId="7" applyNumberFormat="1" applyFont="1" applyFill="1" applyBorder="1" applyAlignment="1">
      <alignment horizontal="center" vertical="center"/>
      <protection locked="1" hidden="1"/>
    </xf>
    <xf numFmtId="0" fontId="1" fillId="57" borderId="2" xfId="0" applyFill="1" applyBorder="1" applyAlignment="1">
      <alignment horizontal="center" vertical="center"/>
      <protection locked="1" hidden="1"/>
    </xf>
    <xf numFmtId="0" fontId="13" fillId="42" borderId="2" xfId="1" applyFont="1" applyFill="1" applyBorder="1" applyAlignment="1">
      <alignment horizontal="center" vertical="center"/>
      <protection locked="1" hidden="1"/>
    </xf>
    <xf numFmtId="0" fontId="13" fillId="62" borderId="2" xfId="1" applyFont="1" applyFill="1" applyBorder="1" applyAlignment="1">
      <alignment horizontal="center" vertical="center"/>
      <protection locked="1" hidden="1"/>
    </xf>
    <xf numFmtId="0" fontId="54" fillId="37" borderId="2" xfId="1" applyFont="1" applyFill="1" applyBorder="1" applyAlignment="1">
      <alignment horizontal="center" vertical="center"/>
      <protection locked="1" hidden="1"/>
    </xf>
    <xf numFmtId="0" fontId="36" fillId="28" borderId="2" xfId="1" applyFont="1" applyFill="1" applyBorder="1" applyAlignment="1">
      <alignment horizontal="center" vertical="center"/>
      <protection locked="1" hidden="1"/>
    </xf>
    <xf numFmtId="164" fontId="55" fillId="47" borderId="15" xfId="0" applyNumberFormat="1" applyFont="1" applyFill="1" applyBorder="1" applyAlignment="1">
      <alignment horizontal="center" vertical="center"/>
      <protection locked="1" hidden="1"/>
    </xf>
    <xf numFmtId="164" fontId="55" fillId="47" borderId="17" xfId="0" applyNumberFormat="1" applyFont="1" applyFill="1" applyBorder="1" applyAlignment="1">
      <alignment horizontal="center" vertical="center"/>
      <protection locked="1" hidden="1"/>
    </xf>
    <xf numFmtId="164" fontId="55" fillId="26" borderId="15" xfId="0" applyNumberFormat="1" applyFont="1" applyFill="1" applyBorder="1" applyAlignment="1">
      <alignment horizontal="center" vertical="center"/>
      <protection locked="1" hidden="1"/>
    </xf>
    <xf numFmtId="164" fontId="55" fillId="26" borderId="17" xfId="0" applyNumberFormat="1" applyFont="1" applyFill="1" applyBorder="1" applyAlignment="1">
      <alignment horizontal="center" vertical="center"/>
      <protection locked="1" hidden="1"/>
    </xf>
    <xf numFmtId="164" fontId="55" fillId="47" borderId="15" xfId="0" applyNumberFormat="1" applyFont="1" applyFill="1" applyBorder="1" applyAlignment="1">
      <alignment horizontal="center" vertical="center"/>
    </xf>
    <xf numFmtId="164" fontId="55" fillId="47" borderId="17" xfId="0" applyNumberFormat="1" applyFont="1" applyFill="1" applyBorder="1" applyAlignment="1">
      <alignment horizontal="center" vertical="center"/>
    </xf>
    <xf numFmtId="164" fontId="55" fillId="26" borderId="15" xfId="0" applyNumberFormat="1" applyFont="1" applyFill="1" applyBorder="1" applyAlignment="1">
      <alignment horizontal="center" vertical="center"/>
    </xf>
    <xf numFmtId="164" fontId="55" fillId="26" borderId="17" xfId="0" applyNumberFormat="1" applyFont="1" applyFill="1" applyBorder="1" applyAlignment="1">
      <alignment horizontal="center" vertical="center"/>
    </xf>
    <xf numFmtId="0" fontId="1" fillId="0" borderId="0" xfId="0" applyFont="1" applyBorder="1" applyAlignment="1">
      <alignment horizontal="center" vertical="center"/>
      <protection locked="1" hidden="1"/>
    </xf>
    <xf numFmtId="0" fontId="11" fillId="49" borderId="0" xfId="1" applyFill="1" applyAlignment="1">
      <alignment horizontal="center" vertical="center"/>
      <protection locked="1" hidden="1"/>
    </xf>
    <xf numFmtId="0" fontId="13" fillId="57" borderId="15" xfId="0" applyFont="1" applyFill="1" applyBorder="1" applyAlignment="1">
      <alignment horizontal="center" vertical="center"/>
      <protection locked="1" hidden="1"/>
    </xf>
    <xf numFmtId="0" fontId="13" fillId="57" borderId="17" xfId="0" applyFont="1" applyFill="1" applyBorder="1" applyAlignment="1">
      <alignment horizontal="center" vertical="center"/>
      <protection locked="1" hidden="1"/>
    </xf>
    <xf numFmtId="0" fontId="57" fillId="0" borderId="22" xfId="7" applyFont="1" applyBorder="1" applyAlignment="1">
      <alignment horizontal="center" vertical="center"/>
      <protection locked="1" hidden="1"/>
    </xf>
    <xf numFmtId="2" fontId="11" fillId="0" borderId="22" xfId="7" applyNumberFormat="1" applyFont="1" applyBorder="1" applyAlignment="1">
      <alignment horizontal="center" vertical="center"/>
      <protection locked="1" hidden="1"/>
    </xf>
    <xf numFmtId="0" fontId="1" fillId="58" borderId="15" xfId="0" applyFill="1" applyBorder="1" applyAlignment="1">
      <alignment horizontal="center" vertical="center"/>
      <protection locked="1" hidden="1"/>
    </xf>
    <xf numFmtId="0" fontId="1" fillId="58" borderId="17" xfId="0" applyFill="1" applyBorder="1" applyAlignment="1">
      <alignment horizontal="center" vertical="center"/>
      <protection locked="1" hidden="1"/>
    </xf>
    <xf numFmtId="0" fontId="1" fillId="58" borderId="2" xfId="0" applyFill="1" applyBorder="1" applyAlignment="1">
      <alignment horizontal="center" vertical="center"/>
      <protection locked="1" hidden="1"/>
    </xf>
    <xf numFmtId="0" fontId="1" fillId="58" borderId="17" xfId="0" applyFont="1" applyFill="1" applyBorder="1" applyAlignment="1">
      <alignment horizontal="center" vertical="center"/>
      <protection locked="1" hidden="1"/>
    </xf>
    <xf numFmtId="0" fontId="1" fillId="58" borderId="15" xfId="0" applyFont="1" applyFill="1" applyBorder="1" applyAlignment="1">
      <alignment horizontal="center" vertical="center"/>
      <protection locked="1" hidden="1"/>
    </xf>
    <xf numFmtId="0" fontId="13" fillId="42" borderId="23" xfId="1" applyFont="1" applyFill="1" applyBorder="1" applyAlignment="1">
      <alignment horizontal="center" vertical="center"/>
      <protection locked="1" hidden="1"/>
    </xf>
    <xf numFmtId="0" fontId="13" fillId="42" borderId="24" xfId="1" applyFont="1" applyFill="1" applyBorder="1" applyAlignment="1">
      <alignment horizontal="center" vertical="center"/>
      <protection locked="1" hidden="1"/>
    </xf>
    <xf numFmtId="2" fontId="13" fillId="55" borderId="23" xfId="7" applyNumberFormat="1" applyFont="1" applyFill="1" applyBorder="1" applyAlignment="1">
      <alignment horizontal="center" vertical="center"/>
      <protection locked="1" hidden="1"/>
    </xf>
    <xf numFmtId="2" fontId="13" fillId="55" borderId="24" xfId="7" applyNumberFormat="1" applyFont="1" applyFill="1" applyBorder="1" applyAlignment="1">
      <alignment horizontal="center" vertical="center"/>
      <protection locked="1" hidden="1"/>
    </xf>
    <xf numFmtId="164" fontId="13" fillId="60" borderId="15" xfId="7" applyNumberFormat="1" applyFont="1" applyFill="1" applyBorder="1" applyAlignment="1">
      <alignment horizontal="center" vertical="center"/>
      <protection locked="1" hidden="1"/>
    </xf>
    <xf numFmtId="164" fontId="13" fillId="60" borderId="17" xfId="7" applyNumberFormat="1" applyFont="1" applyFill="1" applyBorder="1" applyAlignment="1">
      <alignment horizontal="center" vertical="center"/>
      <protection locked="1" hidden="1"/>
    </xf>
    <xf numFmtId="0" fontId="13" fillId="62" borderId="15" xfId="1" applyFont="1" applyFill="1" applyBorder="1" applyAlignment="1">
      <alignment horizontal="center" vertical="center"/>
      <protection locked="1" hidden="1"/>
    </xf>
    <xf numFmtId="0" fontId="13" fillId="62" borderId="17" xfId="1" applyFont="1" applyFill="1" applyBorder="1" applyAlignment="1">
      <alignment horizontal="center" vertical="center"/>
      <protection locked="1" hidden="1"/>
    </xf>
    <xf numFmtId="0" fontId="40" fillId="0" borderId="0" xfId="1" applyFont="1" applyFill="1" applyBorder="1" applyAlignment="1">
      <alignment horizontal="center" vertical="center"/>
      <protection locked="1" hidden="1"/>
    </xf>
    <xf numFmtId="0" fontId="58" fillId="0" borderId="0" xfId="1" applyFont="1" applyFill="1" applyBorder="1" applyAlignment="1">
      <alignment horizontal="center" vertical="center"/>
      <protection locked="1" hidden="1"/>
    </xf>
    <xf numFmtId="0" fontId="13" fillId="0" borderId="0" xfId="1" applyFont="1" applyBorder="1" applyAlignment="1">
      <alignment horizontal="center" vertical="center"/>
      <protection locked="1" hidden="1"/>
    </xf>
    <xf numFmtId="0" fontId="40" fillId="0" borderId="1" xfId="1" applyFont="1" applyFill="1" applyBorder="1" applyAlignment="1">
      <alignment horizontal="center" vertical="center"/>
      <protection locked="1" hidden="1"/>
    </xf>
    <xf numFmtId="0" fontId="59" fillId="0" borderId="1" xfId="1" applyFont="1" applyFill="1" applyBorder="1" applyAlignment="1">
      <alignment horizontal="center" vertical="center"/>
      <protection locked="1" hidden="1"/>
    </xf>
    <xf numFmtId="0" fontId="13" fillId="0" borderId="1" xfId="1" applyFont="1" applyBorder="1" applyAlignment="1">
      <alignment horizontal="center" vertical="center"/>
      <protection locked="1" hidden="1"/>
    </xf>
    <xf numFmtId="0" fontId="57" fillId="63" borderId="22" xfId="7" applyFont="1" applyFill="1" applyBorder="1" applyAlignment="1">
      <alignment horizontal="center" vertical="center"/>
      <protection locked="1" hidden="1"/>
    </xf>
    <xf numFmtId="2" fontId="11" fillId="63" borderId="25" xfId="7" applyNumberFormat="1" applyFont="1" applyFill="1" applyBorder="1" applyAlignment="1">
      <alignment horizontal="center" vertical="center"/>
      <protection locked="1" hidden="1"/>
    </xf>
    <xf numFmtId="2" fontId="11" fillId="63" borderId="26" xfId="7" applyNumberFormat="1" applyFont="1" applyFill="1" applyBorder="1" applyAlignment="1">
      <alignment horizontal="center" vertical="center"/>
      <protection locked="1" hidden="1"/>
    </xf>
    <xf numFmtId="2" fontId="11" fillId="0" borderId="2" xfId="7" applyNumberFormat="1" applyFont="1" applyFill="1" applyBorder="1" applyAlignment="1">
      <alignment horizontal="center" vertical="center"/>
      <protection locked="1" hidden="1"/>
    </xf>
    <xf numFmtId="0" fontId="60" fillId="0" borderId="1" xfId="0" applyFont="1" applyBorder="1" applyAlignment="1">
      <alignment horizontal="center" vertical="bottom"/>
      <protection locked="1" hidden="1"/>
    </xf>
    <xf numFmtId="0" fontId="56" fillId="53" borderId="2" xfId="7" applyFont="1" applyFill="1" applyBorder="1" applyAlignment="1">
      <alignment horizontal="center" vertical="center"/>
      <protection locked="1" hidden="1"/>
    </xf>
    <xf numFmtId="0" fontId="56" fillId="53" borderId="3" xfId="7" applyFont="1" applyFill="1" applyBorder="1" applyAlignment="1">
      <alignment horizontal="center" vertical="center"/>
      <protection locked="1" hidden="1"/>
    </xf>
    <xf numFmtId="164" fontId="54" fillId="61" borderId="15" xfId="7" applyNumberFormat="1" applyFont="1" applyFill="1" applyBorder="1" applyAlignment="1">
      <alignment horizontal="center" vertical="center"/>
      <protection locked="1" hidden="1"/>
    </xf>
    <xf numFmtId="164" fontId="54" fillId="61" borderId="17" xfId="7" applyNumberFormat="1" applyFont="1" applyFill="1" applyBorder="1" applyAlignment="1">
      <alignment horizontal="center" vertical="center"/>
      <protection locked="1" hidden="1"/>
    </xf>
    <xf numFmtId="2" fontId="61" fillId="47" borderId="1" xfId="1" applyNumberFormat="1" applyFont="1" applyFill="1" applyBorder="1" applyAlignment="1">
      <alignment horizontal="center" vertical="bottom"/>
      <protection locked="1" hidden="1"/>
    </xf>
    <xf numFmtId="0" fontId="25" fillId="47" borderId="1" xfId="1" applyFont="1" applyFill="1" applyBorder="1" applyAlignment="1">
      <alignment horizontal="center" vertical="center"/>
      <protection locked="1" hidden="1"/>
    </xf>
    <xf numFmtId="0" fontId="62" fillId="47" borderId="1" xfId="1" applyFont="1" applyFill="1" applyBorder="1" applyAlignment="1">
      <alignment horizontal="center" vertical="bottom"/>
      <protection locked="1" hidden="1"/>
    </xf>
    <xf numFmtId="0" fontId="56" fillId="53" borderId="15" xfId="7" applyFont="1" applyFill="1" applyBorder="1" applyAlignment="1">
      <alignment horizontal="center" vertical="center"/>
      <protection locked="1" hidden="1"/>
    </xf>
    <xf numFmtId="0" fontId="63" fillId="28" borderId="1" xfId="1" applyFont="1" applyFill="1" applyBorder="1" applyAlignment="1">
      <alignment horizontal="center" vertical="center"/>
      <protection locked="1" hidden="1"/>
    </xf>
    <xf numFmtId="167" fontId="62" fillId="50" borderId="1" xfId="1" applyNumberFormat="1" applyFont="1" applyFill="1" applyBorder="1" applyAlignment="1">
      <alignment horizontal="center" vertical="bottom"/>
      <protection locked="0" hidden="0"/>
    </xf>
    <xf numFmtId="0" fontId="1" fillId="0" borderId="0" xfId="0" applyAlignment="1">
      <alignment horizontal="center" vertical="center"/>
    </xf>
    <xf numFmtId="0" fontId="64" fillId="0" borderId="0" xfId="0" applyFont="1" applyAlignment="1">
      <alignment horizontal="center" vertical="center"/>
      <protection locked="1" hidden="1"/>
    </xf>
    <xf numFmtId="0" fontId="1" fillId="50" borderId="2" xfId="0" applyFont="1" applyFill="1" applyBorder="1" applyAlignment="1">
      <alignment horizontal="center" vertical="center"/>
      <protection locked="1" hidden="1"/>
    </xf>
    <xf numFmtId="0" fontId="1" fillId="50" borderId="2" xfId="0" applyFill="1" applyBorder="1" applyAlignment="1">
      <alignment horizontal="center" vertical="center"/>
      <protection locked="1" hidden="1"/>
    </xf>
    <xf numFmtId="0" fontId="54" fillId="64" borderId="2" xfId="1" applyFont="1" applyFill="1" applyBorder="1" applyAlignment="1">
      <alignment horizontal="center" vertical="center"/>
      <protection locked="1" hidden="1"/>
    </xf>
    <xf numFmtId="2" fontId="11" fillId="63" borderId="22" xfId="7" applyNumberFormat="1" applyFont="1" applyFill="1" applyBorder="1" applyAlignment="1">
      <alignment horizontal="center" vertical="center"/>
      <protection locked="1" hidden="1"/>
    </xf>
    <xf numFmtId="164" fontId="13" fillId="65" borderId="2" xfId="7" applyNumberFormat="1" applyFont="1" applyFill="1" applyBorder="1" applyAlignment="1">
      <alignment horizontal="center" vertical="center"/>
      <protection locked="1" hidden="1"/>
    </xf>
    <xf numFmtId="164" fontId="54" fillId="66" borderId="2" xfId="7" applyNumberFormat="1" applyFont="1" applyFill="1" applyBorder="1" applyAlignment="1">
      <alignment horizontal="center" vertical="center"/>
      <protection locked="1" hidden="1"/>
    </xf>
    <xf numFmtId="2" fontId="65" fillId="63" borderId="25" xfId="7" applyNumberFormat="1" applyFont="1" applyFill="1" applyBorder="1" applyAlignment="1">
      <alignment horizontal="center" vertical="center"/>
      <protection locked="1" hidden="1"/>
    </xf>
    <xf numFmtId="2" fontId="65" fillId="63" borderId="26" xfId="7" applyNumberFormat="1" applyFont="1" applyFill="1" applyBorder="1" applyAlignment="1">
      <alignment horizontal="center" vertical="center"/>
      <protection locked="1" hidden="1"/>
    </xf>
    <xf numFmtId="164" fontId="13" fillId="65" borderId="15" xfId="7" applyNumberFormat="1" applyFont="1" applyFill="1" applyBorder="1" applyAlignment="1">
      <alignment horizontal="center" vertical="center"/>
      <protection locked="1" hidden="1"/>
    </xf>
    <xf numFmtId="164" fontId="13" fillId="65" borderId="17" xfId="7" applyNumberFormat="1" applyFont="1" applyFill="1" applyBorder="1" applyAlignment="1">
      <alignment horizontal="center" vertical="center"/>
      <protection locked="1" hidden="1"/>
    </xf>
    <xf numFmtId="0" fontId="57" fillId="0" borderId="2" xfId="7" applyFont="1" applyFill="1" applyBorder="1" applyAlignment="1">
      <alignment horizontal="center" vertical="center"/>
      <protection locked="1" hidden="1"/>
    </xf>
    <xf numFmtId="0" fontId="55" fillId="47" borderId="12" xfId="0" applyFont="1" applyFill="1" applyBorder="1" applyAlignment="1">
      <alignment horizontal="center" vertical="center"/>
      <protection locked="1" hidden="1"/>
    </xf>
    <xf numFmtId="164" fontId="55" fillId="47" borderId="14" xfId="0" applyNumberFormat="1" applyFont="1" applyFill="1" applyBorder="1" applyAlignment="1">
      <alignment horizontal="center" vertical="center"/>
      <protection locked="1" hidden="1"/>
    </xf>
    <xf numFmtId="0" fontId="55" fillId="26" borderId="12" xfId="0" applyFont="1" applyFill="1" applyBorder="1" applyAlignment="1">
      <alignment horizontal="center" vertical="center"/>
      <protection locked="1" hidden="1"/>
    </xf>
    <xf numFmtId="164" fontId="55" fillId="26" borderId="14" xfId="0" applyNumberFormat="1" applyFont="1" applyFill="1" applyBorder="1" applyAlignment="1">
      <alignment horizontal="center" vertical="center"/>
      <protection locked="1" hidden="1"/>
    </xf>
    <xf numFmtId="164" fontId="54" fillId="66" borderId="15" xfId="7" applyNumberFormat="1" applyFont="1" applyFill="1" applyBorder="1" applyAlignment="1">
      <alignment horizontal="center" vertical="center"/>
      <protection locked="1" hidden="1"/>
    </xf>
    <xf numFmtId="164" fontId="54" fillId="66" borderId="17" xfId="7" applyNumberFormat="1" applyFont="1" applyFill="1" applyBorder="1" applyAlignment="1">
      <alignment horizontal="center" vertical="center"/>
      <protection locked="1" hidden="1"/>
    </xf>
    <xf numFmtId="0" fontId="1" fillId="0" borderId="0" xfId="0" applyAlignment="1">
      <alignment vertical="bottom"/>
      <protection locked="1" hidden="1"/>
    </xf>
    <xf numFmtId="167" fontId="62" fillId="50" borderId="1" xfId="1" applyNumberFormat="1" applyFont="1" applyFill="1" applyBorder="1" applyAlignment="1">
      <alignment horizontal="center" vertical="bottom"/>
      <protection locked="1" hidden="1"/>
    </xf>
    <xf numFmtId="0" fontId="62" fillId="47" borderId="8" xfId="1" applyFont="1" applyFill="1" applyBorder="1" applyAlignment="1">
      <alignment horizontal="center" vertical="bottom"/>
      <protection locked="1" hidden="1"/>
    </xf>
    <xf numFmtId="0" fontId="66" fillId="0" borderId="0" xfId="8" applyAlignment="1">
      <alignment vertical="bottom"/>
    </xf>
    <xf numFmtId="0" fontId="2" fillId="2" borderId="1" xfId="1" applyFont="1" applyFill="1" applyBorder="1" applyAlignment="1">
      <alignment horizontal="center" vertical="center"/>
      <protection locked="1" hidden="1"/>
    </xf>
    <xf numFmtId="0" fontId="3" fillId="3" borderId="1" xfId="1" applyFont="1" applyFill="1" applyBorder="1" applyAlignment="1">
      <alignment horizontal="center" vertical="center"/>
      <protection locked="0" hidden="0"/>
    </xf>
    <xf numFmtId="0" fontId="23" fillId="49" borderId="0" xfId="1" applyFont="1" applyFill="1" applyAlignment="1">
      <alignment horizontal="center" vertical="center"/>
      <protection locked="1" hidden="1"/>
    </xf>
    <xf numFmtId="0" fontId="5" fillId="4" borderId="1" xfId="1" applyFont="1" applyFill="1" applyBorder="1" applyAlignment="1">
      <alignment horizontal="center" vertical="bottom"/>
      <protection locked="1" hidden="1"/>
    </xf>
    <xf numFmtId="0" fontId="6" fillId="5" borderId="1" xfId="1" applyFont="1" applyFill="1" applyBorder="1" applyAlignment="1">
      <alignment horizontal="center" vertical="center"/>
      <protection locked="1" hidden="1"/>
    </xf>
    <xf numFmtId="0" fontId="6" fillId="5" borderId="27" xfId="1" applyFont="1" applyFill="1" applyBorder="1" applyAlignment="1">
      <alignment horizontal="center" vertical="center"/>
      <protection locked="1" hidden="1"/>
    </xf>
    <xf numFmtId="0" fontId="6" fillId="67" borderId="1" xfId="1" applyFont="1" applyFill="1" applyBorder="1" applyAlignment="1">
      <alignment horizontal="center" vertical="bottom"/>
      <protection locked="1" hidden="1"/>
    </xf>
    <xf numFmtId="0" fontId="60" fillId="68" borderId="0" xfId="1" applyFont="1" applyFill="1" applyAlignment="1">
      <alignment horizontal="center" vertical="bottom"/>
    </xf>
    <xf numFmtId="0" fontId="67" fillId="69" borderId="0" xfId="9" applyFont="1" applyAlignment="1">
      <alignment horizontal="center" vertical="center"/>
    </xf>
    <xf numFmtId="0" fontId="11" fillId="0" borderId="0" xfId="0" applyFont="1" applyAlignment="1">
      <alignment horizontal="center" vertical="center"/>
    </xf>
    <xf numFmtId="168" fontId="68" fillId="69" borderId="0" xfId="9" applyNumberFormat="1" applyFont="1" applyBorder="1" applyAlignment="1">
      <alignment horizontal="center" vertical="center"/>
    </xf>
    <xf numFmtId="0" fontId="67" fillId="69" borderId="0" xfId="9" applyFont="1" applyBorder="1" applyAlignment="1">
      <alignment horizontal="center" vertical="center"/>
    </xf>
    <xf numFmtId="0" fontId="67" fillId="69" borderId="1" xfId="9" applyFont="1" applyBorder="1" applyAlignment="1">
      <alignment horizontal="center" vertical="center"/>
    </xf>
    <xf numFmtId="0" fontId="67" fillId="69" borderId="1" xfId="9" applyFont="1" applyBorder="1" applyAlignment="1">
      <alignment horizontal="center" vertical="center"/>
      <protection locked="0" hidden="0"/>
    </xf>
    <xf numFmtId="0" fontId="60" fillId="0" borderId="0" xfId="1" applyFont="1" applyAlignment="1">
      <alignment horizontal="center" vertical="bottom"/>
    </xf>
    <xf numFmtId="0" fontId="69" fillId="0" borderId="0" xfId="1" applyFont="1" applyAlignment="1">
      <alignment horizontal="center" vertical="bottom"/>
    </xf>
    <xf numFmtId="0" fontId="2" fillId="7" borderId="1" xfId="1" applyFont="1" applyFill="1" applyBorder="1" applyAlignment="1">
      <alignment horizontal="center" vertical="center"/>
      <protection locked="1" hidden="1"/>
    </xf>
    <xf numFmtId="2" fontId="3" fillId="8" borderId="1" xfId="1" applyNumberFormat="1" applyFont="1" applyFill="1" applyBorder="1" applyAlignment="1">
      <alignment horizontal="center" vertical="center"/>
      <protection locked="0" hidden="0"/>
    </xf>
    <xf numFmtId="2" fontId="7" fillId="9" borderId="1" xfId="1" applyNumberFormat="1" applyFont="1" applyFill="1" applyBorder="1" applyAlignment="1">
      <alignment horizontal="center" vertical="center"/>
      <protection locked="1" hidden="1"/>
    </xf>
    <xf numFmtId="2" fontId="8" fillId="10" borderId="27" xfId="1" applyNumberFormat="1" applyFont="1" applyFill="1" applyBorder="1" applyAlignment="1">
      <alignment horizontal="center" vertical="center"/>
      <protection locked="1" hidden="1"/>
    </xf>
    <xf numFmtId="2" fontId="7" fillId="15" borderId="1" xfId="1" applyNumberFormat="1" applyFont="1" applyFill="1" applyBorder="1" applyAlignment="1">
      <alignment horizontal="center" vertical="center"/>
      <protection locked="1" hidden="1"/>
    </xf>
    <xf numFmtId="2" fontId="8" fillId="16" borderId="27" xfId="1" applyNumberFormat="1" applyFont="1" applyFill="1" applyBorder="1" applyAlignment="1">
      <alignment horizontal="center" vertical="center"/>
      <protection locked="1" hidden="1"/>
    </xf>
    <xf numFmtId="0" fontId="70" fillId="0" borderId="1" xfId="9" applyFont="1" applyFill="1" applyBorder="1" applyAlignment="1">
      <alignment horizontal="center" vertical="center"/>
    </xf>
    <xf numFmtId="0" fontId="67" fillId="0" borderId="28" xfId="9" applyFont="1" applyFill="1" applyBorder="1" applyAlignment="1">
      <alignment horizontal="center" vertical="center"/>
    </xf>
    <xf numFmtId="0" fontId="67" fillId="69" borderId="28" xfId="9" applyFont="1" applyBorder="1" applyAlignment="1">
      <alignment horizontal="center" vertical="center"/>
    </xf>
    <xf numFmtId="167" fontId="40" fillId="69" borderId="0" xfId="9" applyNumberFormat="1" applyFont="1" applyAlignment="1">
      <alignment horizontal="center" vertical="center"/>
    </xf>
    <xf numFmtId="0" fontId="67" fillId="69" borderId="1" xfId="9" applyFont="1" applyBorder="1" applyAlignment="1">
      <alignment horizontal="center" vertical="center"/>
    </xf>
    <xf numFmtId="9" fontId="71" fillId="69" borderId="0" xfId="9" applyNumberFormat="1" applyFont="1" applyBorder="1" applyAlignment="1">
      <alignment horizontal="center" vertical="center"/>
    </xf>
    <xf numFmtId="0" fontId="60" fillId="0" borderId="1" xfId="10" applyFont="1" applyFill="1" applyBorder="1" applyAlignment="1">
      <alignment horizontal="center" vertical="center"/>
    </xf>
    <xf numFmtId="9" fontId="71" fillId="69" borderId="1" xfId="9" applyNumberFormat="1" applyFont="1" applyBorder="1" applyAlignment="1">
      <alignment horizontal="center" vertical="center"/>
    </xf>
    <xf numFmtId="0" fontId="60" fillId="0" borderId="28" xfId="1" applyFont="1" applyFill="1" applyBorder="1" applyAlignment="1">
      <alignment horizontal="center" vertical="center"/>
    </xf>
    <xf numFmtId="9" fontId="71" fillId="69" borderId="1" xfId="9" applyNumberFormat="1" applyFont="1" applyBorder="1" applyAlignment="1">
      <alignment horizontal="center" vertical="center"/>
      <protection locked="0" hidden="0"/>
    </xf>
    <xf numFmtId="0" fontId="67" fillId="69" borderId="28" xfId="9" applyFont="1" applyBorder="1" applyAlignment="1">
      <alignment horizontal="center" vertical="center"/>
      <protection locked="0" hidden="0"/>
    </xf>
    <xf numFmtId="0" fontId="5" fillId="12" borderId="1" xfId="1" applyFont="1" applyFill="1" applyBorder="1" applyAlignment="1">
      <alignment horizontal="center" vertical="center"/>
      <protection locked="1" hidden="1"/>
    </xf>
    <xf numFmtId="2" fontId="7" fillId="13" borderId="1" xfId="1" applyNumberFormat="1" applyFont="1" applyFill="1" applyBorder="1" applyAlignment="1">
      <alignment horizontal="center" vertical="center"/>
      <protection locked="1" hidden="1"/>
    </xf>
    <xf numFmtId="2" fontId="8" fillId="14" borderId="27" xfId="1" applyNumberFormat="1" applyFont="1" applyFill="1" applyBorder="1" applyAlignment="1">
      <alignment horizontal="center" vertical="center"/>
      <protection locked="1" hidden="1"/>
    </xf>
    <xf numFmtId="169" fontId="40" fillId="0" borderId="7" xfId="9" applyNumberFormat="1" applyFont="1" applyFill="1" applyBorder="1" applyAlignment="1">
      <alignment horizontal="center" vertical="center"/>
    </xf>
    <xf numFmtId="0" fontId="40" fillId="0" borderId="1" xfId="9" applyFont="1" applyFill="1" applyBorder="1" applyAlignment="1">
      <alignment horizontal="center" vertical="center"/>
    </xf>
    <xf numFmtId="0" fontId="67" fillId="69" borderId="29" xfId="9" applyFont="1" applyBorder="1" applyAlignment="1">
      <alignment horizontal="center" vertical="center"/>
    </xf>
    <xf numFmtId="167" fontId="67" fillId="69" borderId="30" xfId="9" applyNumberFormat="1" applyFont="1" applyBorder="1" applyAlignment="1">
      <alignment horizontal="center" vertical="center"/>
    </xf>
    <xf numFmtId="0" fontId="67" fillId="69" borderId="30" xfId="9" applyFont="1" applyBorder="1" applyAlignment="1">
      <alignment horizontal="center" vertical="center"/>
    </xf>
    <xf numFmtId="167" fontId="67" fillId="69" borderId="1" xfId="9" applyNumberFormat="1" applyFont="1" applyBorder="1" applyAlignment="1">
      <alignment horizontal="center" vertical="center"/>
    </xf>
    <xf numFmtId="0" fontId="60" fillId="0" borderId="28" xfId="10" applyFont="1" applyFill="1" applyBorder="1" applyAlignment="1">
      <alignment horizontal="center" vertical="center"/>
    </xf>
    <xf numFmtId="0" fontId="60" fillId="0" borderId="30" xfId="10" applyFont="1" applyFill="1" applyBorder="1" applyAlignment="1">
      <alignment horizontal="center" vertical="center"/>
    </xf>
    <xf numFmtId="2" fontId="40" fillId="0" borderId="1" xfId="10" applyNumberFormat="1" applyFont="1" applyFill="1" applyBorder="1" applyAlignment="1">
      <alignment horizontal="center" vertical="center"/>
    </xf>
    <xf numFmtId="0" fontId="67" fillId="69" borderId="31" xfId="9" applyFont="1" applyBorder="1" applyAlignment="1">
      <alignment horizontal="center" vertical="center"/>
    </xf>
    <xf numFmtId="0" fontId="60" fillId="0" borderId="31" xfId="1" applyFont="1" applyFill="1" applyBorder="1" applyAlignment="1">
      <alignment horizontal="center" vertical="center"/>
    </xf>
    <xf numFmtId="0" fontId="67" fillId="69" borderId="31" xfId="9" applyFont="1" applyBorder="1" applyAlignment="1">
      <alignment horizontal="center" vertical="center"/>
      <protection locked="0" hidden="0"/>
    </xf>
    <xf numFmtId="0" fontId="11" fillId="0" borderId="0" xfId="1" applyAlignment="1">
      <alignment horizontal="center" vertical="bottom"/>
    </xf>
    <xf numFmtId="164" fontId="3" fillId="8" borderId="1" xfId="1" applyNumberFormat="1" applyFont="1" applyFill="1" applyBorder="1" applyAlignment="1">
      <alignment horizontal="center" vertical="center"/>
      <protection locked="0" hidden="0"/>
    </xf>
    <xf numFmtId="9" fontId="67" fillId="0" borderId="32" xfId="9" applyNumberFormat="1" applyFont="1" applyFill="1" applyBorder="1" applyAlignment="1">
      <alignment horizontal="center" vertical="center"/>
    </xf>
    <xf numFmtId="0" fontId="67" fillId="0" borderId="31" xfId="9" applyFont="1" applyFill="1" applyBorder="1" applyAlignment="1">
      <alignment horizontal="center" vertical="center"/>
    </xf>
    <xf numFmtId="0" fontId="67" fillId="69" borderId="33" xfId="9" applyFont="1" applyBorder="1" applyAlignment="1">
      <alignment horizontal="center" vertical="center"/>
    </xf>
    <xf numFmtId="167" fontId="67" fillId="69" borderId="34" xfId="9" applyNumberFormat="1" applyFont="1" applyBorder="1" applyAlignment="1">
      <alignment horizontal="center" vertical="center"/>
    </xf>
    <xf numFmtId="0" fontId="67" fillId="69" borderId="34" xfId="9" applyFont="1" applyBorder="1" applyAlignment="1">
      <alignment horizontal="center" vertical="center"/>
    </xf>
    <xf numFmtId="0" fontId="72" fillId="69" borderId="0" xfId="9" applyFont="1" applyBorder="1" applyAlignment="1">
      <alignment horizontal="center" vertical="center"/>
    </xf>
    <xf numFmtId="0" fontId="60" fillId="0" borderId="29" xfId="10" applyFont="1" applyFill="1" applyBorder="1" applyAlignment="1">
      <alignment horizontal="center" vertical="center"/>
    </xf>
    <xf numFmtId="0" fontId="60" fillId="0" borderId="35" xfId="10" applyFont="1" applyFill="1" applyBorder="1" applyAlignment="1">
      <alignment horizontal="center" vertical="center"/>
    </xf>
    <xf numFmtId="167" fontId="40" fillId="0" borderId="8" xfId="10" applyNumberFormat="1" applyFont="1" applyFill="1" applyBorder="1" applyAlignment="1">
      <alignment horizontal="center" vertical="center"/>
    </xf>
    <xf numFmtId="0" fontId="2" fillId="17" borderId="1" xfId="1" applyFont="1" applyFill="1" applyBorder="1" applyAlignment="1">
      <alignment horizontal="center" vertical="center"/>
      <protection locked="1" hidden="1"/>
    </xf>
    <xf numFmtId="0" fontId="5" fillId="18" borderId="1" xfId="1" applyFont="1" applyFill="1" applyBorder="1" applyAlignment="1">
      <alignment horizontal="center" vertical="center"/>
      <protection locked="1" hidden="1"/>
    </xf>
    <xf numFmtId="164" fontId="12" fillId="19" borderId="36" xfId="1" applyNumberFormat="1" applyFont="1" applyFill="1" applyBorder="1" applyAlignment="1">
      <alignment horizontal="center" vertical="center"/>
      <protection locked="1" hidden="1"/>
    </xf>
    <xf numFmtId="164" fontId="10" fillId="20" borderId="6" xfId="1" applyNumberFormat="1" applyFont="1" applyFill="1" applyBorder="1" applyAlignment="1">
      <alignment horizontal="center" vertical="center"/>
      <protection locked="1" hidden="1"/>
    </xf>
    <xf numFmtId="164" fontId="12" fillId="19" borderId="37" xfId="1" applyNumberFormat="1" applyFont="1" applyFill="1" applyBorder="1" applyAlignment="1">
      <alignment horizontal="center" vertical="center"/>
      <protection locked="1" hidden="1"/>
    </xf>
    <xf numFmtId="9" fontId="67" fillId="0" borderId="7" xfId="9" applyNumberFormat="1" applyFont="1" applyFill="1" applyBorder="1" applyAlignment="1">
      <alignment horizontal="center" vertical="center"/>
    </xf>
    <xf numFmtId="9" fontId="71" fillId="0" borderId="0" xfId="0" applyNumberFormat="1" applyFont="1" applyBorder="1" applyAlignment="1">
      <alignment horizontal="center" vertical="center"/>
    </xf>
    <xf numFmtId="0" fontId="60" fillId="0" borderId="32" xfId="10" applyFont="1" applyFill="1" applyBorder="1" applyAlignment="1">
      <alignment horizontal="center" vertical="center"/>
    </xf>
    <xf numFmtId="0" fontId="60" fillId="0" borderId="38" xfId="10" applyFont="1" applyFill="1" applyBorder="1" applyAlignment="1">
      <alignment horizontal="center" vertical="center"/>
    </xf>
    <xf numFmtId="0" fontId="60" fillId="0" borderId="39" xfId="10" applyFont="1" applyFill="1" applyBorder="1" applyAlignment="1">
      <alignment horizontal="center" vertical="center"/>
    </xf>
    <xf numFmtId="9" fontId="71" fillId="0" borderId="1" xfId="0" applyNumberFormat="1" applyFont="1" applyBorder="1" applyAlignment="1">
      <alignment horizontal="center" vertical="center"/>
    </xf>
    <xf numFmtId="0" fontId="11" fillId="0" borderId="31" xfId="0" applyFont="1" applyBorder="1" applyAlignment="1">
      <alignment horizontal="center" vertical="center"/>
    </xf>
    <xf numFmtId="0" fontId="3" fillId="70" borderId="1" xfId="1" applyFont="1" applyFill="1" applyBorder="1" applyAlignment="1">
      <alignment horizontal="center" vertical="center"/>
      <protection locked="0" hidden="0"/>
    </xf>
    <xf numFmtId="0" fontId="73" fillId="49" borderId="0" xfId="1" applyFont="1" applyFill="1">
      <alignment vertical="center"/>
      <protection locked="1" hidden="1"/>
    </xf>
    <xf numFmtId="0" fontId="6" fillId="24" borderId="37" xfId="1" applyFont="1" applyFill="1" applyBorder="1" applyAlignment="1">
      <alignment horizontal="center" vertical="center"/>
      <protection locked="1" hidden="1"/>
    </xf>
    <xf numFmtId="0" fontId="67" fillId="69" borderId="32" xfId="9" applyFont="1" applyBorder="1" applyAlignment="1">
      <alignment horizontal="center" vertical="center"/>
    </xf>
    <xf numFmtId="167" fontId="67" fillId="69" borderId="39" xfId="9" applyNumberFormat="1" applyFont="1" applyBorder="1" applyAlignment="1">
      <alignment horizontal="center" vertical="center"/>
    </xf>
    <xf numFmtId="0" fontId="2" fillId="27" borderId="1" xfId="1" applyFont="1" applyFill="1" applyBorder="1" applyAlignment="1">
      <alignment horizontal="center" vertical="center"/>
      <protection locked="1" hidden="1"/>
    </xf>
    <xf numFmtId="9" fontId="3" fillId="28" borderId="1" xfId="1" applyNumberFormat="1" applyFont="1" applyFill="1" applyBorder="1" applyAlignment="1">
      <alignment horizontal="center" vertical="center"/>
      <protection locked="0" hidden="0"/>
    </xf>
    <xf numFmtId="168" fontId="74" fillId="69" borderId="0" xfId="9" applyNumberFormat="1" applyFont="1" applyBorder="1" applyAlignment="1">
      <alignment horizontal="center" vertical="center"/>
    </xf>
    <xf numFmtId="167" fontId="10" fillId="11" borderId="1" xfId="1" applyNumberFormat="1" applyFont="1" applyFill="1" applyBorder="1" applyAlignment="1">
      <alignment horizontal="center" vertical="center"/>
      <protection locked="1" hidden="1"/>
    </xf>
    <xf numFmtId="0" fontId="75" fillId="5" borderId="6" xfId="1" applyFont="1" applyFill="1" applyBorder="1" applyAlignment="1">
      <alignment horizontal="center" vertical="center"/>
      <protection locked="1" hidden="1"/>
    </xf>
    <xf numFmtId="0" fontId="67" fillId="0" borderId="40" xfId="9" applyFont="1" applyFill="1" applyBorder="1" applyAlignment="1">
      <alignment horizontal="center" vertical="center"/>
    </xf>
    <xf numFmtId="2" fontId="10" fillId="18" borderId="1" xfId="1" applyNumberFormat="1" applyFont="1" applyFill="1" applyBorder="1" applyAlignment="1">
      <alignment horizontal="center" vertical="center"/>
      <protection locked="1" hidden="1"/>
    </xf>
    <xf numFmtId="0" fontId="5" fillId="4" borderId="6" xfId="1" applyFont="1" applyFill="1" applyBorder="1" applyAlignment="1">
      <alignment horizontal="center" vertical="bottom"/>
      <protection locked="1" hidden="1"/>
    </xf>
    <xf numFmtId="0" fontId="6" fillId="5" borderId="6" xfId="1" applyFont="1" applyFill="1" applyBorder="1" applyAlignment="1">
      <alignment horizontal="center" vertical="center"/>
      <protection locked="1" hidden="1"/>
    </xf>
    <xf numFmtId="0" fontId="76" fillId="12" borderId="6" xfId="1" applyFont="1" applyFill="1" applyBorder="1" applyAlignment="1">
      <alignment horizontal="center" vertical="center"/>
      <protection locked="1" hidden="1"/>
    </xf>
    <xf numFmtId="2" fontId="77" fillId="13" borderId="6" xfId="1" applyNumberFormat="1" applyFont="1" applyFill="1" applyBorder="1" applyAlignment="1">
      <alignment horizontal="center" vertical="center"/>
      <protection locked="0" hidden="1"/>
    </xf>
    <xf numFmtId="2" fontId="78" fillId="14" borderId="6" xfId="1" applyNumberFormat="1" applyFont="1" applyFill="1" applyBorder="1" applyAlignment="1">
      <alignment horizontal="center" vertical="center"/>
      <protection locked="0" hidden="1"/>
    </xf>
    <xf numFmtId="0" fontId="67" fillId="69" borderId="39" xfId="9" applyFont="1" applyBorder="1" applyAlignment="1">
      <alignment horizontal="center" vertical="center"/>
    </xf>
    <xf numFmtId="9" fontId="79" fillId="68" borderId="35" xfId="1" applyNumberFormat="1" applyFont="1" applyFill="1" applyBorder="1" applyAlignment="1">
      <alignment horizontal="center" vertical="center"/>
      <protection locked="1" hidden="1"/>
    </xf>
    <xf numFmtId="0" fontId="6" fillId="5" borderId="4" xfId="1" applyFont="1" applyFill="1" applyBorder="1" applyAlignment="1">
      <alignment horizontal="center" vertical="center"/>
      <protection locked="1" hidden="1"/>
    </xf>
    <xf numFmtId="2" fontId="77" fillId="9" borderId="6" xfId="1" applyNumberFormat="1" applyFont="1" applyFill="1" applyBorder="1" applyAlignment="1">
      <alignment horizontal="center" vertical="center"/>
      <protection locked="0" hidden="1"/>
    </xf>
    <xf numFmtId="2" fontId="78" fillId="10" borderId="6" xfId="1" applyNumberFormat="1" applyFont="1" applyFill="1" applyBorder="1" applyAlignment="1">
      <alignment horizontal="center" vertical="center"/>
      <protection locked="0" hidden="1"/>
    </xf>
    <xf numFmtId="0" fontId="67" fillId="69" borderId="0" xfId="9" applyNumberFormat="1" applyFont="1" applyAlignment="1">
      <alignment horizontal="center" vertical="center"/>
    </xf>
    <xf numFmtId="9" fontId="79" fillId="68" borderId="38" xfId="1" applyNumberFormat="1" applyFont="1" applyFill="1" applyBorder="1" applyAlignment="1">
      <alignment horizontal="center" vertical="center"/>
      <protection locked="1" hidden="1"/>
    </xf>
    <xf numFmtId="0" fontId="5" fillId="12" borderId="28" xfId="1" applyFont="1" applyFill="1" applyBorder="1" applyAlignment="1">
      <alignment horizontal="center" vertical="center"/>
      <protection locked="1" hidden="1"/>
    </xf>
    <xf numFmtId="2" fontId="7" fillId="13" borderId="27" xfId="1" applyNumberFormat="1" applyFont="1" applyFill="1" applyBorder="1" applyAlignment="1">
      <alignment horizontal="center" vertical="center"/>
      <protection locked="1" hidden="1"/>
    </xf>
    <xf numFmtId="2" fontId="8" fillId="14" borderId="6" xfId="1" applyNumberFormat="1" applyFont="1" applyFill="1" applyBorder="1" applyAlignment="1">
      <alignment horizontal="center" vertical="center"/>
      <protection locked="1" hidden="1"/>
    </xf>
    <xf numFmtId="0" fontId="67" fillId="71" borderId="7" xfId="9" applyFont="1" applyFill="1" applyBorder="1" applyAlignment="1">
      <alignment horizontal="center" vertical="center"/>
    </xf>
    <xf numFmtId="0" fontId="67" fillId="69" borderId="1" xfId="9" applyFont="1" applyBorder="1" applyAlignment="1">
      <alignment horizontal="center" vertical="center"/>
    </xf>
    <xf numFmtId="0" fontId="67" fillId="69" borderId="8" xfId="9" applyFont="1" applyBorder="1" applyAlignment="1">
      <alignment horizontal="center" vertical="center"/>
    </xf>
    <xf numFmtId="2" fontId="67" fillId="69" borderId="30" xfId="9" applyNumberFormat="1" applyFont="1" applyBorder="1" applyAlignment="1">
      <alignment horizontal="center" vertical="center"/>
    </xf>
    <xf numFmtId="2" fontId="11" fillId="0" borderId="0" xfId="0" applyNumberFormat="1" applyFont="1" applyAlignment="1">
      <alignment horizontal="center" vertical="center"/>
    </xf>
    <xf numFmtId="2" fontId="80" fillId="72" borderId="29" xfId="1" applyNumberFormat="1" applyFont="1" applyFill="1" applyBorder="1" applyAlignment="1">
      <alignment horizontal="center" vertical="center"/>
      <protection locked="0" hidden="0"/>
    </xf>
    <xf numFmtId="2" fontId="80" fillId="72" borderId="30" xfId="1" applyNumberFormat="1" applyFont="1" applyFill="1" applyBorder="1" applyAlignment="1">
      <alignment horizontal="center" vertical="center"/>
      <protection locked="0" hidden="0"/>
    </xf>
    <xf numFmtId="2" fontId="7" fillId="9" borderId="27" xfId="1" applyNumberFormat="1" applyFont="1" applyFill="1" applyBorder="1" applyAlignment="1">
      <alignment horizontal="center" vertical="center"/>
      <protection locked="1" hidden="1"/>
    </xf>
    <xf numFmtId="2" fontId="8" fillId="10" borderId="6" xfId="1" applyNumberFormat="1" applyFont="1" applyFill="1" applyBorder="1" applyAlignment="1">
      <alignment horizontal="center" vertical="center"/>
      <protection locked="1" hidden="1"/>
    </xf>
    <xf numFmtId="0" fontId="5" fillId="12" borderId="6" xfId="1" applyFont="1" applyFill="1" applyBorder="1" applyAlignment="1">
      <alignment horizontal="center" vertical="center"/>
      <protection locked="1" hidden="1"/>
    </xf>
    <xf numFmtId="0" fontId="1" fillId="0" borderId="0" xfId="0" applyFont="1" applyAlignment="1">
      <alignment horizontal="center" vertical="center"/>
    </xf>
    <xf numFmtId="2" fontId="67" fillId="69" borderId="39" xfId="9" applyNumberFormat="1" applyFont="1" applyBorder="1" applyAlignment="1">
      <alignment horizontal="center" vertical="center"/>
    </xf>
    <xf numFmtId="9" fontId="71" fillId="69" borderId="28" xfId="9" applyNumberFormat="1" applyFont="1" applyBorder="1" applyAlignment="1">
      <alignment horizontal="center" vertical="center"/>
    </xf>
    <xf numFmtId="0" fontId="67" fillId="69" borderId="40" xfId="9" applyFont="1" applyBorder="1" applyAlignment="1">
      <alignment horizontal="center" vertical="center"/>
    </xf>
    <xf numFmtId="0" fontId="60" fillId="0" borderId="40" xfId="1" applyFont="1" applyFill="1" applyBorder="1" applyAlignment="1">
      <alignment horizontal="center" vertical="center"/>
    </xf>
    <xf numFmtId="0" fontId="67" fillId="69" borderId="40" xfId="9" applyFont="1" applyBorder="1" applyAlignment="1">
      <alignment horizontal="center" vertical="center"/>
      <protection locked="0" hidden="0"/>
    </xf>
    <xf numFmtId="2" fontId="80" fillId="72" borderId="32" xfId="1" applyNumberFormat="1" applyFont="1" applyFill="1" applyBorder="1" applyAlignment="1">
      <alignment horizontal="center" vertical="center"/>
      <protection locked="0" hidden="0"/>
    </xf>
    <xf numFmtId="2" fontId="80" fillId="72" borderId="39" xfId="1" applyNumberFormat="1" applyFont="1" applyFill="1" applyBorder="1" applyAlignment="1">
      <alignment horizontal="center" vertical="center"/>
      <protection locked="0" hidden="0"/>
    </xf>
    <xf numFmtId="0" fontId="5" fillId="18" borderId="41" xfId="1" applyFont="1" applyFill="1" applyBorder="1" applyAlignment="1">
      <alignment horizontal="center" vertical="center"/>
      <protection locked="1" hidden="1"/>
    </xf>
    <xf numFmtId="164" fontId="12" fillId="19" borderId="6" xfId="1" applyNumberFormat="1" applyFont="1" applyFill="1" applyBorder="1" applyAlignment="1">
      <alignment horizontal="center" vertical="center"/>
      <protection locked="1" hidden="1"/>
    </xf>
    <xf numFmtId="2" fontId="77" fillId="13" borderId="4" xfId="1" applyNumberFormat="1" applyFont="1" applyFill="1" applyBorder="1" applyAlignment="1">
      <alignment horizontal="center" vertical="center"/>
      <protection locked="1" hidden="1"/>
    </xf>
    <xf numFmtId="0" fontId="60" fillId="0" borderId="1" xfId="1" applyFont="1" applyBorder="1" applyAlignment="1">
      <alignment horizontal="center" vertical="bottom"/>
    </xf>
    <xf numFmtId="9" fontId="79" fillId="68" borderId="0" xfId="1" applyNumberFormat="1" applyFont="1" applyFill="1" applyAlignment="1">
      <alignment horizontal="center" vertical="center"/>
      <protection locked="1" hidden="1"/>
    </xf>
    <xf numFmtId="0" fontId="13" fillId="72" borderId="1" xfId="1" applyFont="1" applyFill="1" applyBorder="1" applyAlignment="1">
      <alignment horizontal="center" vertical="center"/>
      <protection locked="0" hidden="1"/>
    </xf>
    <xf numFmtId="164" fontId="81" fillId="49" borderId="0" xfId="1" applyNumberFormat="1" applyFont="1" applyFill="1" applyAlignment="1">
      <alignment horizontal="center" vertical="center"/>
      <protection locked="1" hidden="1"/>
    </xf>
    <xf numFmtId="0" fontId="75" fillId="5" borderId="42" xfId="1" applyFont="1" applyFill="1" applyBorder="1" applyAlignment="1">
      <alignment horizontal="center" vertical="center"/>
      <protection locked="1" hidden="1"/>
    </xf>
    <xf numFmtId="2" fontId="77" fillId="73" borderId="1" xfId="1" applyNumberFormat="1" applyFont="1" applyFill="1" applyBorder="1" applyAlignment="1">
      <alignment horizontal="center" vertical="center"/>
      <protection locked="1" hidden="1"/>
    </xf>
    <xf numFmtId="0" fontId="67" fillId="71" borderId="29" xfId="9" applyFont="1" applyFill="1" applyBorder="1" applyAlignment="1">
      <alignment horizontal="center" vertical="center"/>
    </xf>
    <xf numFmtId="0" fontId="13" fillId="0" borderId="0" xfId="0" applyFont="1" applyAlignment="1">
      <alignment horizontal="center" vertical="center"/>
    </xf>
    <xf numFmtId="164" fontId="79" fillId="68" borderId="0" xfId="1" applyNumberFormat="1" applyFont="1" applyFill="1" applyAlignment="1">
      <alignment horizontal="center" vertical="center"/>
      <protection locked="1" hidden="1"/>
    </xf>
    <xf numFmtId="0" fontId="5" fillId="18" borderId="7" xfId="1" applyFont="1" applyFill="1" applyBorder="1" applyAlignment="1">
      <alignment horizontal="center" vertical="center"/>
      <protection locked="1" hidden="1"/>
    </xf>
    <xf numFmtId="164" fontId="82" fillId="19" borderId="1" xfId="1" applyNumberFormat="1" applyFont="1" applyFill="1" applyBorder="1" applyAlignment="1">
      <alignment horizontal="center" vertical="center"/>
      <protection locked="1" hidden="1"/>
    </xf>
    <xf numFmtId="0" fontId="67" fillId="69" borderId="7" xfId="9" applyFont="1" applyBorder="1" applyAlignment="1">
      <alignment horizontal="center" vertical="center"/>
    </xf>
    <xf numFmtId="164" fontId="67" fillId="69" borderId="1" xfId="9" applyNumberFormat="1" applyFont="1" applyBorder="1" applyAlignment="1">
      <alignment horizontal="center" vertical="center"/>
    </xf>
    <xf numFmtId="2" fontId="67" fillId="69" borderId="1" xfId="9" applyNumberFormat="1" applyFont="1" applyBorder="1" applyAlignment="1">
      <alignment horizontal="center" vertical="center"/>
    </xf>
    <xf numFmtId="0" fontId="67" fillId="69" borderId="43" xfId="9" applyFont="1" applyBorder="1" applyAlignment="1">
      <alignment horizontal="center" vertical="center"/>
    </xf>
    <xf numFmtId="0" fontId="60" fillId="0" borderId="1" xfId="1" applyFont="1" applyFill="1" applyBorder="1" applyAlignment="1">
      <alignment horizontal="center" vertical="bottom"/>
    </xf>
    <xf numFmtId="2" fontId="57" fillId="74" borderId="0" xfId="9" applyNumberFormat="1" applyFont="1" applyFill="1" applyBorder="1" applyAlignment="1">
      <alignment horizontal="center" vertical="center"/>
    </xf>
    <xf numFmtId="0" fontId="2" fillId="2" borderId="28" xfId="1" applyFont="1" applyFill="1" applyBorder="1" applyAlignment="1">
      <alignment horizontal="center" vertical="center"/>
      <protection locked="1" hidden="1"/>
    </xf>
    <xf numFmtId="0" fontId="83" fillId="75" borderId="28" xfId="1" applyFont="1" applyFill="1" applyBorder="1" applyAlignment="1">
      <alignment horizontal="center" vertical="center"/>
      <protection locked="0" hidden="0"/>
    </xf>
    <xf numFmtId="0" fontId="5" fillId="4" borderId="4" xfId="1" applyFont="1" applyFill="1" applyBorder="1" applyAlignment="1">
      <alignment horizontal="center" vertical="bottom"/>
      <protection locked="1" hidden="1"/>
    </xf>
    <xf numFmtId="0" fontId="6" fillId="24" borderId="44" xfId="1" applyFont="1" applyFill="1" applyBorder="1" applyAlignment="1">
      <alignment horizontal="center" vertical="center"/>
      <protection locked="1" hidden="1"/>
    </xf>
    <xf numFmtId="0" fontId="84" fillId="42" borderId="1" xfId="8" applyFont="1" applyFill="1" applyBorder="1" applyAlignment="1">
      <alignment horizontal="center" vertical="bottom"/>
      <protection locked="1" hidden="1"/>
    </xf>
    <xf numFmtId="2" fontId="67" fillId="69" borderId="1" xfId="9" applyNumberFormat="1" applyFont="1" applyBorder="1" applyAlignment="1">
      <alignment horizontal="center" vertical="center"/>
    </xf>
    <xf numFmtId="167" fontId="40" fillId="69" borderId="8" xfId="9" applyNumberFormat="1" applyFont="1" applyBorder="1" applyAlignment="1">
      <alignment horizontal="center" vertical="center"/>
    </xf>
    <xf numFmtId="0" fontId="2" fillId="2" borderId="40" xfId="1" applyFont="1" applyFill="1" applyBorder="1" applyAlignment="1">
      <alignment horizontal="center" vertical="center"/>
      <protection locked="1" hidden="1"/>
    </xf>
    <xf numFmtId="0" fontId="83" fillId="75" borderId="40" xfId="1" applyFont="1" applyFill="1" applyBorder="1" applyAlignment="1">
      <alignment horizontal="center" vertical="center"/>
      <protection locked="0" hidden="0"/>
    </xf>
    <xf numFmtId="0" fontId="60" fillId="68" borderId="1" xfId="1" applyFont="1" applyFill="1" applyBorder="1" applyAlignment="1">
      <alignment horizontal="center" vertical="bottom"/>
      <protection locked="1" hidden="1"/>
    </xf>
    <xf numFmtId="0" fontId="60" fillId="68" borderId="35" xfId="1" applyFont="1" applyFill="1" applyBorder="1" applyAlignment="1">
      <alignment horizontal="center" vertical="bottom"/>
      <protection locked="1" hidden="1"/>
    </xf>
    <xf numFmtId="0" fontId="60" fillId="68" borderId="30" xfId="1" applyFont="1" applyFill="1" applyBorder="1" applyAlignment="1">
      <alignment horizontal="center" vertical="bottom"/>
      <protection locked="1" hidden="1"/>
    </xf>
    <xf numFmtId="164" fontId="60" fillId="68" borderId="0" xfId="1" applyNumberFormat="1" applyFont="1" applyFill="1" applyAlignment="1">
      <alignment horizontal="center" vertical="bottom"/>
    </xf>
    <xf numFmtId="0" fontId="60" fillId="68" borderId="33" xfId="1" applyFont="1" applyFill="1" applyBorder="1" applyAlignment="1">
      <alignment horizontal="center" vertical="bottom"/>
      <protection locked="1" hidden="1"/>
    </xf>
    <xf numFmtId="0" fontId="60" fillId="68" borderId="0" xfId="1" applyFont="1" applyFill="1" applyAlignment="1">
      <alignment horizontal="center" vertical="bottom"/>
      <protection locked="1" hidden="1"/>
    </xf>
    <xf numFmtId="0" fontId="60" fillId="68" borderId="34" xfId="1" applyFont="1" applyFill="1" applyBorder="1" applyAlignment="1">
      <alignment horizontal="center" vertical="bottom"/>
      <protection locked="1" hidden="1"/>
    </xf>
    <xf numFmtId="0" fontId="19" fillId="2" borderId="1" xfId="1" applyFont="1" applyFill="1" applyBorder="1" applyAlignment="1">
      <alignment horizontal="center" vertical="center"/>
      <protection locked="1" hidden="1"/>
    </xf>
    <xf numFmtId="10" fontId="85" fillId="76" borderId="1" xfId="1" applyNumberFormat="1" applyFont="1" applyFill="1" applyBorder="1" applyAlignment="1">
      <alignment horizontal="center" vertical="center"/>
      <protection locked="1" hidden="1"/>
    </xf>
    <xf numFmtId="164" fontId="12" fillId="19" borderId="1" xfId="1" applyNumberFormat="1" applyFont="1" applyFill="1" applyBorder="1" applyAlignment="1">
      <alignment horizontal="center" vertical="center"/>
      <protection locked="1" hidden="1"/>
    </xf>
    <xf numFmtId="164" fontId="10" fillId="20" borderId="27" xfId="1" applyNumberFormat="1" applyFont="1" applyFill="1" applyBorder="1" applyAlignment="1">
      <alignment horizontal="center" vertical="center"/>
      <protection locked="1" hidden="1"/>
    </xf>
    <xf numFmtId="0" fontId="70" fillId="42" borderId="1" xfId="9" applyFont="1" applyFill="1" applyBorder="1" applyAlignment="1">
      <alignment horizontal="center" vertical="center"/>
    </xf>
    <xf numFmtId="0" fontId="67" fillId="42" borderId="28" xfId="9" applyFont="1" applyFill="1" applyBorder="1" applyAlignment="1">
      <alignment horizontal="center" vertical="center"/>
    </xf>
    <xf numFmtId="0" fontId="19" fillId="7" borderId="1" xfId="1" applyFont="1" applyFill="1" applyBorder="1" applyAlignment="1">
      <alignment horizontal="center" vertical="center"/>
      <protection locked="1" hidden="1"/>
    </xf>
    <xf numFmtId="169" fontId="40" fillId="42" borderId="7" xfId="9" applyNumberFormat="1" applyFont="1" applyFill="1" applyBorder="1" applyAlignment="1">
      <alignment horizontal="center" vertical="center"/>
    </xf>
    <xf numFmtId="0" fontId="40" fillId="42" borderId="1" xfId="9" applyFont="1" applyFill="1" applyBorder="1" applyAlignment="1">
      <alignment horizontal="center" vertical="center"/>
    </xf>
    <xf numFmtId="9" fontId="67" fillId="42" borderId="32" xfId="9" applyNumberFormat="1" applyFont="1" applyFill="1" applyBorder="1" applyAlignment="1">
      <alignment horizontal="center" vertical="center"/>
    </xf>
    <xf numFmtId="0" fontId="67" fillId="42" borderId="31" xfId="9" applyFont="1" applyFill="1" applyBorder="1" applyAlignment="1">
      <alignment horizontal="center" vertical="center"/>
    </xf>
    <xf numFmtId="9" fontId="67" fillId="42" borderId="7" xfId="9" applyNumberFormat="1" applyFont="1" applyFill="1" applyBorder="1" applyAlignment="1">
      <alignment horizontal="center" vertical="center"/>
    </xf>
    <xf numFmtId="0" fontId="67" fillId="74" borderId="31" xfId="9" applyFont="1" applyFill="1" applyBorder="1" applyAlignment="1">
      <alignment horizontal="center" vertical="center"/>
    </xf>
    <xf numFmtId="0" fontId="60" fillId="68" borderId="32" xfId="1" applyFont="1" applyFill="1" applyBorder="1" applyAlignment="1">
      <alignment horizontal="center" vertical="bottom"/>
      <protection locked="1" hidden="1"/>
    </xf>
    <xf numFmtId="0" fontId="60" fillId="68" borderId="38" xfId="1" applyFont="1" applyFill="1" applyBorder="1" applyAlignment="1">
      <alignment horizontal="center" vertical="bottom"/>
      <protection locked="1" hidden="1"/>
    </xf>
    <xf numFmtId="0" fontId="60" fillId="68" borderId="39" xfId="1" applyFont="1" applyFill="1" applyBorder="1" applyAlignment="1">
      <alignment horizontal="center" vertical="bottom"/>
      <protection locked="1" hidden="1"/>
    </xf>
    <xf numFmtId="0" fontId="66" fillId="68" borderId="7" xfId="8" applyFill="1" applyBorder="1" applyAlignment="1">
      <alignment horizontal="center" vertical="bottom"/>
      <protection locked="1" hidden="1"/>
    </xf>
    <xf numFmtId="0" fontId="66" fillId="68" borderId="43" xfId="8" applyFill="1" applyBorder="1" applyAlignment="1">
      <alignment horizontal="center" vertical="bottom"/>
      <protection locked="1" hidden="1"/>
    </xf>
    <xf numFmtId="0" fontId="66" fillId="28" borderId="1" xfId="8" applyFill="1" applyBorder="1" applyAlignment="1">
      <alignment horizontal="center" vertical="bottom"/>
      <protection locked="0" hidden="0"/>
    </xf>
    <xf numFmtId="0" fontId="67" fillId="42" borderId="40" xfId="9" applyFont="1" applyFill="1" applyBorder="1" applyAlignment="1">
      <alignment horizontal="center" vertical="center"/>
    </xf>
    <xf numFmtId="0" fontId="23" fillId="49" borderId="0" xfId="1" applyFont="1" applyFill="1">
      <alignment vertical="center"/>
      <protection locked="1" hidden="1"/>
    </xf>
    <xf numFmtId="0" fontId="66" fillId="68" borderId="45" xfId="8" applyFill="1" applyBorder="1" applyAlignment="1">
      <alignment horizontal="center" vertical="bottom"/>
      <protection locked="0" hidden="1"/>
    </xf>
    <xf numFmtId="0" fontId="66" fillId="68" borderId="46" xfId="8" applyFill="1" applyBorder="1" applyAlignment="1">
      <alignment horizontal="center" vertical="bottom"/>
      <protection locked="0" hidden="1"/>
    </xf>
    <xf numFmtId="0" fontId="66" fillId="68" borderId="0" xfId="8" applyFill="1" applyAlignment="1">
      <alignment horizontal="center" vertical="bottom"/>
      <protection locked="0" hidden="0"/>
    </xf>
    <xf numFmtId="0" fontId="66" fillId="68" borderId="47" xfId="8" applyFill="1" applyBorder="1" applyAlignment="1">
      <alignment horizontal="center" vertical="bottom"/>
      <protection locked="0" hidden="0"/>
    </xf>
    <xf numFmtId="0" fontId="10" fillId="77" borderId="1" xfId="1" applyFont="1" applyFill="1" applyBorder="1" applyAlignment="1">
      <alignment horizontal="center" vertical="center"/>
      <protection locked="1" hidden="1"/>
    </xf>
    <xf numFmtId="0" fontId="3" fillId="78" borderId="1" xfId="1" applyFont="1" applyFill="1" applyBorder="1" applyAlignment="1">
      <alignment horizontal="center" vertical="center"/>
    </xf>
    <xf numFmtId="0" fontId="10" fillId="79" borderId="1" xfId="1" applyFont="1" applyFill="1" applyBorder="1" applyAlignment="1">
      <alignment horizontal="center" vertical="center"/>
      <protection locked="1" hidden="1"/>
    </xf>
    <xf numFmtId="164" fontId="60" fillId="0" borderId="0" xfId="1" applyNumberFormat="1" applyFont="1" applyAlignment="1">
      <alignment horizontal="center" vertical="bottom"/>
    </xf>
    <xf numFmtId="0" fontId="70" fillId="0" borderId="1" xfId="1" applyFont="1" applyBorder="1" applyAlignment="1">
      <alignment horizontal="center" vertical="bottom"/>
    </xf>
    <xf numFmtId="9" fontId="60" fillId="0" borderId="28" xfId="1" applyNumberFormat="1" applyFont="1" applyBorder="1" applyAlignment="1">
      <alignment horizontal="center" vertical="bottom"/>
    </xf>
    <xf numFmtId="0" fontId="60" fillId="0" borderId="32" xfId="1" applyFont="1" applyBorder="1" applyAlignment="1">
      <alignment horizontal="center" vertical="bottom"/>
    </xf>
    <xf numFmtId="0" fontId="60" fillId="0" borderId="29" xfId="1" applyFont="1" applyBorder="1" applyAlignment="1">
      <alignment horizontal="center" vertical="bottom"/>
    </xf>
    <xf numFmtId="0" fontId="60" fillId="0" borderId="35" xfId="1" applyFont="1" applyBorder="1" applyAlignment="1">
      <alignment horizontal="center" vertical="bottom"/>
    </xf>
    <xf numFmtId="0" fontId="60" fillId="0" borderId="30" xfId="1" applyFont="1" applyBorder="1" applyAlignment="1">
      <alignment horizontal="center" vertical="bottom"/>
    </xf>
    <xf numFmtId="167" fontId="60" fillId="0" borderId="1" xfId="1" applyNumberFormat="1" applyFont="1" applyBorder="1" applyAlignment="1">
      <alignment horizontal="center" vertical="bottom"/>
    </xf>
    <xf numFmtId="0" fontId="60" fillId="0" borderId="7" xfId="1" applyFont="1" applyBorder="1" applyAlignment="1">
      <alignment horizontal="center" vertical="bottom"/>
    </xf>
    <xf numFmtId="0" fontId="60" fillId="0" borderId="38" xfId="1" applyFont="1" applyBorder="1" applyAlignment="1">
      <alignment horizontal="center" vertical="bottom"/>
    </xf>
    <xf numFmtId="0" fontId="60" fillId="0" borderId="39" xfId="1" applyFont="1" applyBorder="1" applyAlignment="1">
      <alignment horizontal="center" vertical="bottom"/>
    </xf>
    <xf numFmtId="0" fontId="66" fillId="0" borderId="0" xfId="1" applyFont="1" applyAlignment="1">
      <alignment horizontal="center" vertical="bottom"/>
    </xf>
    <xf numFmtId="0" fontId="51" fillId="0" borderId="0" xfId="1" applyFont="1" applyAlignment="1">
      <alignment horizontal="center" vertical="center"/>
      <protection locked="1" hidden="1"/>
    </xf>
    <xf numFmtId="0" fontId="86" fillId="0" borderId="0" xfId="1" applyFont="1" applyAlignment="1">
      <alignment horizontal="center" vertical="center"/>
      <protection locked="1" hidden="1"/>
    </xf>
    <xf numFmtId="0" fontId="62" fillId="47" borderId="1" xfId="1" applyFont="1" applyFill="1" applyBorder="1" applyAlignment="1">
      <alignment horizontal="center" vertical="center"/>
    </xf>
    <xf numFmtId="0" fontId="62" fillId="47" borderId="29" xfId="1" applyFont="1" applyFill="1" applyBorder="1" applyAlignment="1">
      <alignment horizontal="center" vertical="bottom"/>
    </xf>
    <xf numFmtId="167" fontId="62" fillId="50" borderId="28" xfId="1" applyNumberFormat="1" applyFont="1" applyFill="1" applyBorder="1" applyAlignment="1">
      <alignment horizontal="center" vertical="bottom"/>
    </xf>
    <xf numFmtId="0" fontId="62" fillId="47" borderId="33" xfId="1" applyFont="1" applyFill="1" applyBorder="1" applyAlignment="1">
      <alignment horizontal="center" vertical="bottom"/>
    </xf>
    <xf numFmtId="167" fontId="62" fillId="50" borderId="31" xfId="1" applyNumberFormat="1" applyFont="1" applyFill="1" applyBorder="1" applyAlignment="1">
      <alignment horizontal="center" vertical="bottom"/>
    </xf>
    <xf numFmtId="0" fontId="13" fillId="0" borderId="1" xfId="8" applyFont="1" applyBorder="1" applyAlignment="1">
      <alignment horizontal="center" vertical="center"/>
    </xf>
    <xf numFmtId="0" fontId="13" fillId="27" borderId="2" xfId="1" applyFont="1" applyFill="1" applyBorder="1" applyAlignment="1">
      <alignment horizontal="center" vertical="center"/>
      <protection locked="1" hidden="1"/>
    </xf>
    <xf numFmtId="0" fontId="11" fillId="42" borderId="2" xfId="1" applyFill="1" applyBorder="1" applyAlignment="1">
      <alignment horizontal="center" vertical="center"/>
      <protection locked="1" hidden="1"/>
    </xf>
    <xf numFmtId="0" fontId="11" fillId="6" borderId="2" xfId="1" applyFill="1" applyBorder="1" applyAlignment="1">
      <alignment horizontal="center" vertical="center"/>
      <protection locked="1" hidden="1"/>
    </xf>
    <xf numFmtId="0" fontId="11" fillId="28" borderId="2" xfId="1" applyFill="1" applyBorder="1" applyAlignment="1">
      <alignment horizontal="center" vertical="center"/>
      <protection locked="1" hidden="1"/>
    </xf>
    <xf numFmtId="0" fontId="11" fillId="0" borderId="0" xfId="1" applyAlignment="1">
      <alignment horizontal="center" vertical="center"/>
      <protection locked="1" hidden="1"/>
    </xf>
    <xf numFmtId="0" fontId="67" fillId="80" borderId="1" xfId="9" applyFont="1" applyFill="1" applyBorder="1" applyAlignment="1">
      <alignment horizontal="center" vertical="center"/>
    </xf>
    <xf numFmtId="0" fontId="67" fillId="57" borderId="35" xfId="9" applyFont="1" applyFill="1" applyBorder="1" applyAlignment="1">
      <alignment horizontal="center" vertical="center"/>
    </xf>
    <xf numFmtId="0" fontId="67" fillId="57" borderId="30" xfId="9" applyFont="1" applyFill="1" applyBorder="1" applyAlignment="1">
      <alignment horizontal="center" vertical="center"/>
    </xf>
    <xf numFmtId="0" fontId="11" fillId="0" borderId="28" xfId="1" applyBorder="1" applyAlignment="1">
      <alignment horizontal="center" vertical="center"/>
    </xf>
    <xf numFmtId="2" fontId="11" fillId="0" borderId="1" xfId="1" applyNumberFormat="1" applyBorder="1" applyAlignment="1">
      <alignment horizontal="center" vertical="bottom"/>
    </xf>
    <xf numFmtId="2" fontId="11" fillId="0" borderId="2" xfId="1" applyNumberFormat="1" applyBorder="1" applyAlignment="1">
      <alignment horizontal="center" vertical="center"/>
      <protection locked="1" hidden="1"/>
    </xf>
    <xf numFmtId="170" fontId="67" fillId="80" borderId="33" xfId="9" applyNumberFormat="1" applyFont="1" applyFill="1" applyBorder="1" applyAlignment="1">
      <alignment horizontal="center" vertical="center"/>
    </xf>
    <xf numFmtId="170" fontId="67" fillId="80" borderId="0" xfId="9" applyNumberFormat="1" applyFont="1" applyFill="1" applyBorder="1" applyAlignment="1">
      <alignment horizontal="center" vertical="center"/>
    </xf>
    <xf numFmtId="0" fontId="67" fillId="80" borderId="34" xfId="9" applyFont="1" applyFill="1" applyBorder="1" applyAlignment="1">
      <alignment horizontal="center" vertical="center"/>
    </xf>
    <xf numFmtId="0" fontId="62" fillId="47" borderId="7" xfId="1" applyFont="1" applyFill="1" applyBorder="1" applyAlignment="1">
      <alignment horizontal="center" vertical="center"/>
    </xf>
    <xf numFmtId="0" fontId="25" fillId="47" borderId="32" xfId="1" applyFont="1" applyFill="1" applyBorder="1" applyAlignment="1">
      <alignment horizontal="center" vertical="center"/>
    </xf>
    <xf numFmtId="167" fontId="62" fillId="50" borderId="40" xfId="1" applyNumberFormat="1" applyFont="1" applyFill="1" applyBorder="1" applyAlignment="1">
      <alignment horizontal="center" vertical="bottom"/>
    </xf>
    <xf numFmtId="0" fontId="11" fillId="0" borderId="29" xfId="1" applyBorder="1" applyAlignment="1">
      <alignment horizontal="center" vertical="center"/>
    </xf>
    <xf numFmtId="0" fontId="11" fillId="0" borderId="35" xfId="1" applyBorder="1" applyAlignment="1">
      <alignment horizontal="center" vertical="center"/>
    </xf>
    <xf numFmtId="0" fontId="11" fillId="0" borderId="30" xfId="1" applyBorder="1" applyAlignment="1">
      <alignment horizontal="center" vertical="center"/>
    </xf>
    <xf numFmtId="0" fontId="11" fillId="0" borderId="8" xfId="1" applyBorder="1" applyAlignment="1">
      <alignment horizontal="center" vertical="bottom"/>
    </xf>
    <xf numFmtId="2" fontId="61" fillId="47" borderId="7" xfId="1" applyNumberFormat="1" applyFont="1" applyFill="1" applyBorder="1" applyAlignment="1">
      <alignment horizontal="center" vertical="bottom"/>
    </xf>
    <xf numFmtId="167" fontId="63" fillId="47" borderId="40" xfId="1" applyNumberFormat="1" applyFont="1" applyFill="1" applyBorder="1" applyAlignment="1">
      <alignment horizontal="center" vertical="center"/>
    </xf>
    <xf numFmtId="2" fontId="60" fillId="0" borderId="1" xfId="1" applyNumberFormat="1" applyFont="1" applyBorder="1" applyAlignment="1">
      <alignment horizontal="center" vertical="bottom"/>
    </xf>
    <xf numFmtId="0" fontId="11" fillId="27" borderId="32" xfId="1" applyFill="1" applyBorder="1" applyAlignment="1">
      <alignment horizontal="center" vertical="center"/>
    </xf>
    <xf numFmtId="0" fontId="11" fillId="27" borderId="38" xfId="1" applyFill="1" applyBorder="1" applyAlignment="1">
      <alignment horizontal="center" vertical="center"/>
    </xf>
    <xf numFmtId="0" fontId="11" fillId="27" borderId="39" xfId="1" applyFill="1" applyBorder="1" applyAlignment="1">
      <alignment horizontal="center" vertical="center"/>
    </xf>
    <xf numFmtId="0" fontId="11" fillId="0" borderId="8" xfId="1" applyBorder="1" applyAlignment="1">
      <alignment horizontal="center" vertical="center"/>
    </xf>
    <xf numFmtId="0" fontId="13" fillId="0" borderId="0" xfId="1" applyFont="1" applyAlignment="1">
      <alignment horizontal="center" vertical="center"/>
      <protection locked="1" hidden="1"/>
    </xf>
    <xf numFmtId="0" fontId="11" fillId="57" borderId="28" xfId="1" applyFill="1" applyBorder="1" applyAlignment="1">
      <alignment horizontal="center" vertical="center"/>
    </xf>
    <xf numFmtId="0" fontId="62" fillId="47" borderId="28" xfId="1" applyFont="1" applyFill="1" applyBorder="1" applyAlignment="1">
      <alignment horizontal="center" vertical="bottom"/>
    </xf>
    <xf numFmtId="0" fontId="67" fillId="80" borderId="40" xfId="9" applyFont="1" applyFill="1" applyBorder="1" applyAlignment="1">
      <alignment horizontal="center" vertical="center"/>
    </xf>
    <xf numFmtId="0" fontId="62" fillId="47" borderId="31" xfId="1" applyFont="1" applyFill="1" applyBorder="1" applyAlignment="1">
      <alignment horizontal="center" vertical="bottom"/>
    </xf>
    <xf numFmtId="0" fontId="67" fillId="80" borderId="28" xfId="9" applyFont="1" applyFill="1" applyBorder="1" applyAlignment="1">
      <alignment horizontal="center" vertical="center"/>
    </xf>
    <xf numFmtId="164" fontId="60" fillId="0" borderId="1" xfId="1" applyNumberFormat="1" applyFont="1" applyBorder="1" applyAlignment="1">
      <alignment horizontal="center" vertical="bottom"/>
    </xf>
    <xf numFmtId="0" fontId="25" fillId="47" borderId="40" xfId="1" applyFont="1" applyFill="1" applyBorder="1" applyAlignment="1">
      <alignment horizontal="center" vertical="center"/>
    </xf>
    <xf numFmtId="167" fontId="63" fillId="47" borderId="1" xfId="1" applyNumberFormat="1" applyFont="1" applyFill="1" applyBorder="1" applyAlignment="1">
      <alignment horizontal="center" vertical="center"/>
    </xf>
    <xf numFmtId="0" fontId="70" fillId="42" borderId="1" xfId="1" applyFont="1" applyFill="1" applyBorder="1" applyAlignment="1">
      <alignment horizontal="center" vertical="bottom"/>
    </xf>
    <xf numFmtId="9" fontId="60" fillId="42" borderId="28" xfId="1" applyNumberFormat="1" applyFont="1" applyFill="1" applyBorder="1" applyAlignment="1">
      <alignment horizontal="center" vertical="bottom"/>
    </xf>
    <xf numFmtId="0" fontId="60" fillId="42" borderId="32" xfId="1" applyFont="1" applyFill="1" applyBorder="1" applyAlignment="1">
      <alignment horizontal="center" vertical="bottom"/>
    </xf>
    <xf numFmtId="0" fontId="60" fillId="42" borderId="29" xfId="1" applyFont="1" applyFill="1" applyBorder="1" applyAlignment="1">
      <alignment horizontal="center" vertical="bottom"/>
    </xf>
    <xf numFmtId="0" fontId="60" fillId="42" borderId="35" xfId="1" applyFont="1" applyFill="1" applyBorder="1" applyAlignment="1">
      <alignment horizontal="center" vertical="bottom"/>
    </xf>
    <xf numFmtId="0" fontId="60" fillId="42" borderId="30" xfId="1" applyFont="1" applyFill="1" applyBorder="1" applyAlignment="1">
      <alignment horizontal="center" vertical="bottom"/>
    </xf>
    <xf numFmtId="0" fontId="60" fillId="42" borderId="7" xfId="1" applyFont="1" applyFill="1" applyBorder="1" applyAlignment="1">
      <alignment horizontal="center" vertical="bottom"/>
    </xf>
    <xf numFmtId="0" fontId="60" fillId="42" borderId="38" xfId="1" applyFont="1" applyFill="1" applyBorder="1" applyAlignment="1">
      <alignment horizontal="center" vertical="bottom"/>
    </xf>
    <xf numFmtId="0" fontId="60" fillId="42" borderId="39" xfId="1" applyFont="1" applyFill="1" applyBorder="1" applyAlignment="1">
      <alignment horizontal="center" vertical="bottom"/>
    </xf>
    <xf numFmtId="0" fontId="60" fillId="42" borderId="1" xfId="1" applyFont="1" applyFill="1" applyBorder="1" applyAlignment="1">
      <alignment horizontal="center" vertical="bottom"/>
    </xf>
    <xf numFmtId="0" fontId="60" fillId="42" borderId="8" xfId="1" applyFont="1" applyFill="1" applyBorder="1" applyAlignment="1">
      <alignment horizontal="center" vertical="bottom"/>
    </xf>
    <xf numFmtId="2" fontId="69" fillId="0" borderId="0" xfId="1" applyNumberFormat="1" applyFont="1" applyAlignment="1">
      <alignment horizontal="center" vertical="bottom"/>
    </xf>
    <xf numFmtId="0" fontId="66" fillId="0" borderId="0" xfId="1" applyFont="1" applyAlignment="1">
      <alignment vertical="bottom"/>
    </xf>
    <xf numFmtId="0" fontId="84" fillId="0" borderId="0" xfId="1" applyFont="1" applyAlignment="1">
      <alignment horizontal="center" vertical="bottom"/>
    </xf>
    <xf numFmtId="167" fontId="66" fillId="0" borderId="0" xfId="1" applyNumberFormat="1" applyFont="1" applyAlignment="1">
      <alignment horizontal="center" vertical="bottom"/>
    </xf>
    <xf numFmtId="167" fontId="84" fillId="0" borderId="0" xfId="1" applyNumberFormat="1" applyFont="1" applyAlignment="1">
      <alignment horizontal="center" vertical="bottom"/>
    </xf>
    <xf numFmtId="0" fontId="66" fillId="0" borderId="0" xfId="8">
      <alignment vertical="center"/>
    </xf>
    <xf numFmtId="0" fontId="66" fillId="27" borderId="1" xfId="8" applyFill="1" applyBorder="1" applyAlignment="1">
      <alignment horizontal="center" vertical="bottom"/>
    </xf>
    <xf numFmtId="0" fontId="11" fillId="0" borderId="1" xfId="1" applyBorder="1" applyAlignment="1">
      <alignment horizontal="center" vertical="bottom"/>
    </xf>
    <xf numFmtId="0" fontId="11" fillId="0" borderId="1" xfId="1" applyBorder="1" applyAlignment="1">
      <alignment horizontal="center" vertical="center"/>
    </xf>
    <xf numFmtId="0" fontId="11" fillId="0" borderId="0" xfId="1" applyAlignment="1">
      <alignment horizontal="center" vertical="center"/>
    </xf>
    <xf numFmtId="164" fontId="11" fillId="0" borderId="0" xfId="1" applyNumberFormat="1" applyAlignment="1">
      <alignment horizontal="center" vertical="bottom"/>
    </xf>
    <xf numFmtId="0" fontId="63" fillId="47" borderId="40" xfId="1" applyFont="1" applyFill="1" applyBorder="1" applyAlignment="1">
      <alignment horizontal="center" vertical="center"/>
    </xf>
    <xf numFmtId="2" fontId="60" fillId="0" borderId="0" xfId="1" applyNumberFormat="1" applyFont="1" applyAlignment="1">
      <alignment horizontal="center" vertical="bottom"/>
    </xf>
    <xf numFmtId="0" fontId="63" fillId="47" borderId="1" xfId="1" applyFont="1" applyFill="1" applyBorder="1" applyAlignment="1">
      <alignment horizontal="center" vertical="center"/>
    </xf>
    <xf numFmtId="0" fontId="11" fillId="68" borderId="0" xfId="1" applyFill="1" applyAlignment="1">
      <alignment horizontal="center" vertical="bottom"/>
    </xf>
    <xf numFmtId="164" fontId="11" fillId="68" borderId="0" xfId="1" applyNumberFormat="1" applyFill="1" applyAlignment="1">
      <alignment horizontal="center" vertical="bottom"/>
    </xf>
    <xf numFmtId="0" fontId="67" fillId="69" borderId="0" xfId="9" applyFont="1" applyBorder="1" applyAlignment="1">
      <alignment horizontal="center" vertical="center"/>
    </xf>
    <xf numFmtId="11" fontId="11" fillId="0" borderId="0" xfId="0" applyNumberFormat="1" applyFont="1" applyAlignment="1">
      <alignment horizontal="center" vertical="center"/>
    </xf>
    <xf numFmtId="0" fontId="11" fillId="0" borderId="0" xfId="0" applyFont="1" applyBorder="1" applyAlignment="1">
      <alignment horizontal="center" vertical="center"/>
    </xf>
    <xf numFmtId="0" fontId="67" fillId="69" borderId="48" xfId="9" applyFont="1" applyBorder="1" applyAlignment="1">
      <alignment horizontal="center" vertical="center"/>
    </xf>
    <xf numFmtId="0" fontId="67" fillId="69" borderId="48" xfId="9" applyFont="1" applyBorder="1" applyAlignment="1">
      <alignment horizontal="center" vertical="center"/>
      <protection locked="0" hidden="0"/>
    </xf>
    <xf numFmtId="0" fontId="11" fillId="0" borderId="0" xfId="0" applyNumberFormat="1" applyFont="1" applyFill="1" applyBorder="1" applyAlignment="1">
      <alignment horizontal="center" vertical="center"/>
    </xf>
    <xf numFmtId="0" fontId="67" fillId="69" borderId="1" xfId="9" applyFont="1" applyBorder="1" applyAlignment="1">
      <alignment horizontal="center" vertical="center"/>
    </xf>
    <xf numFmtId="0" fontId="67" fillId="69" borderId="1" xfId="9" applyFont="1" applyBorder="1" applyAlignment="1">
      <alignment horizontal="center" vertical="center"/>
    </xf>
    <xf numFmtId="1" fontId="11" fillId="0" borderId="0" xfId="0" applyNumberFormat="1" applyFont="1" applyBorder="1" applyAlignment="1">
      <alignment horizontal="center" vertical="center"/>
    </xf>
    <xf numFmtId="2" fontId="11" fillId="0" borderId="0" xfId="0" applyNumberFormat="1" applyFont="1" applyFill="1" applyBorder="1" applyAlignment="1">
      <alignment horizontal="center" vertical="center"/>
    </xf>
    <xf numFmtId="0" fontId="67" fillId="69" borderId="0" xfId="9" applyFont="1" applyBorder="1" applyAlignment="1">
      <alignment horizontal="center" vertical="center"/>
    </xf>
    <xf numFmtId="9" fontId="11" fillId="0" borderId="0" xfId="0" applyNumberFormat="1" applyFont="1" applyBorder="1" applyAlignment="1">
      <alignment horizontal="center" vertical="center"/>
    </xf>
    <xf numFmtId="2" fontId="40" fillId="69" borderId="48" xfId="9" applyNumberFormat="1" applyFont="1" applyBorder="1" applyAlignment="1">
      <alignment horizontal="center" vertical="center"/>
    </xf>
    <xf numFmtId="0" fontId="40" fillId="69" borderId="48" xfId="9" applyFont="1" applyBorder="1" applyAlignment="1">
      <alignment horizontal="center" vertical="center"/>
    </xf>
    <xf numFmtId="2" fontId="40" fillId="69" borderId="48" xfId="9" applyNumberFormat="1" applyFont="1" applyBorder="1" applyAlignment="1">
      <alignment horizontal="center" vertical="center"/>
      <protection locked="0" hidden="0"/>
    </xf>
    <xf numFmtId="167" fontId="1" fillId="0" borderId="0" xfId="0" applyNumberFormat="1" applyAlignment="1">
      <alignment horizontal="center" vertical="bottom"/>
    </xf>
    <xf numFmtId="167" fontId="11" fillId="0" borderId="1" xfId="0" applyNumberFormat="1" applyFont="1" applyFill="1" applyBorder="1" applyAlignment="1">
      <alignment horizontal="center" vertical="center"/>
    </xf>
    <xf numFmtId="0" fontId="67" fillId="69" borderId="1" xfId="9" applyFont="1" applyBorder="1" applyAlignment="1">
      <alignment horizontal="center" vertical="center"/>
      <protection locked="0" hidden="0"/>
    </xf>
    <xf numFmtId="0" fontId="67" fillId="69" borderId="1" xfId="9" applyFont="1" applyBorder="1" applyAlignment="1">
      <alignment horizontal="center" vertical="center"/>
    </xf>
    <xf numFmtId="0" fontId="67" fillId="81" borderId="7" xfId="9" applyNumberFormat="1" applyFont="1" applyFill="1" applyBorder="1" applyAlignment="1">
      <alignment horizontal="center" vertical="center"/>
    </xf>
    <xf numFmtId="0" fontId="67" fillId="81" borderId="43" xfId="9" applyNumberFormat="1" applyFont="1" applyFill="1" applyBorder="1" applyAlignment="1">
      <alignment horizontal="center" vertical="center"/>
    </xf>
    <xf numFmtId="0" fontId="67" fillId="81" borderId="8" xfId="9" applyNumberFormat="1" applyFont="1" applyFill="1" applyBorder="1" applyAlignment="1">
      <alignment horizontal="center" vertical="center"/>
    </xf>
    <xf numFmtId="2" fontId="60" fillId="0" borderId="0" xfId="9" applyNumberFormat="1" applyFont="1" applyFill="1" applyBorder="1" applyAlignment="1">
      <alignment horizontal="center" vertical="center"/>
    </xf>
    <xf numFmtId="0" fontId="67" fillId="0" borderId="0" xfId="9" applyFont="1" applyFill="1" applyBorder="1" applyAlignment="1">
      <alignment horizontal="center" vertical="center"/>
    </xf>
    <xf numFmtId="167" fontId="67" fillId="0" borderId="0" xfId="9" applyNumberFormat="1" applyFont="1" applyFill="1" applyBorder="1" applyAlignment="1">
      <alignment horizontal="center" vertical="center"/>
    </xf>
    <xf numFmtId="0" fontId="11" fillId="0" borderId="0" xfId="0" applyFont="1" applyFill="1" applyBorder="1" applyAlignment="1">
      <alignment horizontal="center" vertical="center"/>
    </xf>
    <xf numFmtId="0" fontId="67" fillId="42" borderId="1" xfId="9" applyFont="1" applyFill="1" applyBorder="1" applyAlignment="1">
      <alignment horizontal="center" vertical="center"/>
    </xf>
    <xf numFmtId="0" fontId="67" fillId="0" borderId="1" xfId="9" applyFont="1" applyFill="1" applyBorder="1" applyAlignment="1">
      <alignment horizontal="center" vertical="center"/>
    </xf>
    <xf numFmtId="0" fontId="64" fillId="0" borderId="0" xfId="9" applyFont="1" applyFill="1" applyBorder="1" applyAlignment="1">
      <alignment horizontal="center" vertical="center"/>
    </xf>
    <xf numFmtId="9" fontId="64" fillId="0" borderId="0" xfId="9" applyNumberFormat="1" applyFont="1" applyFill="1" applyBorder="1" applyAlignment="1">
      <alignment horizontal="center" vertical="center"/>
    </xf>
    <xf numFmtId="9" fontId="67" fillId="0" borderId="40" xfId="9" applyNumberFormat="1" applyFont="1" applyFill="1" applyBorder="1" applyAlignment="1">
      <alignment horizontal="center" vertical="center"/>
    </xf>
    <xf numFmtId="0" fontId="11" fillId="0" borderId="0" xfId="0" applyNumberFormat="1" applyFont="1" applyFill="1" applyBorder="1" applyAlignment="1">
      <alignment horizontal="center" vertical="center"/>
    </xf>
    <xf numFmtId="0" fontId="11" fillId="0" borderId="0" xfId="0" applyNumberFormat="1" applyFont="1" applyFill="1" applyBorder="1" applyAlignment="1">
      <alignment horizontal="center" vertical="center"/>
    </xf>
    <xf numFmtId="9" fontId="67" fillId="0" borderId="1" xfId="9" applyNumberFormat="1" applyFont="1" applyFill="1" applyBorder="1" applyAlignment="1">
      <alignment horizontal="center" vertical="center"/>
    </xf>
    <xf numFmtId="167" fontId="11" fillId="0" borderId="0" xfId="0" applyNumberFormat="1" applyFont="1" applyFill="1" applyBorder="1" applyAlignment="1">
      <alignment horizontal="center" vertical="center"/>
    </xf>
    <xf numFmtId="2" fontId="11" fillId="0" borderId="0" xfId="0" applyNumberFormat="1" applyFont="1" applyFill="1" applyBorder="1" applyAlignment="1">
      <alignment horizontal="center" vertical="center"/>
    </xf>
    <xf numFmtId="9" fontId="64" fillId="0" borderId="0" xfId="0" applyNumberFormat="1" applyFont="1" applyFill="1" applyBorder="1" applyAlignment="1">
      <alignment horizontal="center" vertical="center"/>
    </xf>
    <xf numFmtId="1" fontId="11" fillId="0" borderId="0" xfId="0" applyNumberFormat="1" applyFont="1" applyFill="1" applyBorder="1" applyAlignment="1">
      <alignment horizontal="center" vertical="center"/>
    </xf>
    <xf numFmtId="0" fontId="64" fillId="0" borderId="0" xfId="0" applyFont="1" applyFill="1" applyBorder="1" applyAlignment="1">
      <alignment horizontal="center" vertical="center"/>
    </xf>
    <xf numFmtId="0" fontId="67" fillId="69" borderId="1" xfId="9" applyFont="1" applyBorder="1" applyAlignment="1">
      <alignment horizontal="center" vertical="center"/>
    </xf>
    <xf numFmtId="0" fontId="40" fillId="0" borderId="0" xfId="0" applyFont="1" applyFill="1" applyBorder="1" applyAlignment="1">
      <alignment horizontal="center" vertical="center"/>
    </xf>
    <xf numFmtId="0" fontId="67" fillId="69" borderId="35" xfId="9" applyFont="1" applyBorder="1" applyAlignment="1">
      <alignment horizontal="center" vertical="center"/>
    </xf>
    <xf numFmtId="2" fontId="67" fillId="69" borderId="0" xfId="9" applyNumberFormat="1" applyFont="1" applyAlignment="1">
      <alignment horizontal="center" vertical="center"/>
    </xf>
    <xf numFmtId="0" fontId="67" fillId="69" borderId="0" xfId="9" applyFont="1" applyBorder="1" applyAlignment="1">
      <alignment horizontal="center" vertical="center"/>
    </xf>
    <xf numFmtId="164" fontId="11" fillId="0" borderId="0" xfId="0" applyNumberFormat="1" applyFont="1" applyFill="1" applyBorder="1" applyAlignment="1">
      <alignment horizontal="center" vertical="center"/>
    </xf>
    <xf numFmtId="167" fontId="11" fillId="0" borderId="0" xfId="11" applyNumberFormat="1" applyFont="1" applyFill="1" applyBorder="1" applyAlignment="1">
      <alignment horizontal="center" vertical="center"/>
    </xf>
    <xf numFmtId="0" fontId="67" fillId="69" borderId="1" xfId="9" applyNumberFormat="1" applyFont="1" applyBorder="1" applyAlignment="1">
      <alignment horizontal="center" vertical="center"/>
    </xf>
    <xf numFmtId="167" fontId="67" fillId="69" borderId="7" xfId="9" applyNumberFormat="1" applyFont="1" applyBorder="1" applyAlignment="1">
      <alignment horizontal="center" vertical="center"/>
    </xf>
    <xf numFmtId="0" fontId="67" fillId="0" borderId="0" xfId="9" applyFont="1" applyFill="1" applyAlignment="1">
      <alignment horizontal="center" vertical="center"/>
    </xf>
    <xf numFmtId="0" fontId="11" fillId="0" borderId="0" xfId="0" applyFont="1" applyFill="1" applyAlignment="1">
      <alignment horizontal="center" vertical="center"/>
    </xf>
    <xf numFmtId="0" fontId="11" fillId="0" borderId="29" xfId="1" applyBorder="1" applyAlignment="1">
      <alignment horizontal="center" vertical="center"/>
    </xf>
    <xf numFmtId="0" fontId="11" fillId="0" borderId="35" xfId="1" applyBorder="1" applyAlignment="1">
      <alignment horizontal="center" vertical="center"/>
    </xf>
    <xf numFmtId="0" fontId="11" fillId="0" borderId="30" xfId="1" applyBorder="1" applyAlignment="1">
      <alignment horizontal="center" vertical="center"/>
    </xf>
    <xf numFmtId="0" fontId="11" fillId="27" borderId="32" xfId="1" applyFill="1" applyBorder="1" applyAlignment="1">
      <alignment horizontal="center" vertical="center"/>
    </xf>
    <xf numFmtId="0" fontId="11" fillId="27" borderId="38" xfId="1" applyFill="1" applyBorder="1" applyAlignment="1">
      <alignment horizontal="center" vertical="center"/>
    </xf>
    <xf numFmtId="0" fontId="11" fillId="27" borderId="39" xfId="1" applyFill="1" applyBorder="1" applyAlignment="1">
      <alignment horizontal="center" vertical="center"/>
    </xf>
    <xf numFmtId="167" fontId="67" fillId="69" borderId="8" xfId="9" applyNumberFormat="1" applyFont="1" applyBorder="1" applyAlignment="1">
      <alignment horizontal="center" vertical="center"/>
    </xf>
    <xf numFmtId="164" fontId="67" fillId="0" borderId="1" xfId="9" applyNumberFormat="1" applyFont="1" applyFill="1" applyBorder="1" applyAlignment="1">
      <alignment horizontal="center" vertical="center"/>
    </xf>
    <xf numFmtId="0" fontId="1" fillId="0" borderId="0" xfId="9" applyFont="1" applyFill="1" applyAlignment="1">
      <alignment horizontal="center" vertical="center"/>
    </xf>
    <xf numFmtId="0" fontId="1" fillId="0" borderId="1" xfId="9" applyFont="1" applyFill="1" applyBorder="1" applyAlignment="1">
      <alignment horizontal="center" vertical="center"/>
    </xf>
    <xf numFmtId="164" fontId="1" fillId="0" borderId="1" xfId="9" applyNumberFormat="1" applyFont="1" applyFill="1" applyBorder="1" applyAlignment="1">
      <alignment horizontal="center" vertical="center"/>
    </xf>
    <xf numFmtId="0" fontId="87" fillId="0" borderId="1" xfId="9" applyFont="1" applyFill="1" applyBorder="1" applyAlignment="1">
      <alignment horizontal="center" vertical="center"/>
    </xf>
    <xf numFmtId="0" fontId="11" fillId="0" borderId="28" xfId="9" applyFont="1" applyFill="1" applyBorder="1" applyAlignment="1">
      <alignment horizontal="center" vertical="center"/>
    </xf>
    <xf numFmtId="0" fontId="1" fillId="0" borderId="28" xfId="0" applyFont="1" applyFill="1" applyBorder="1" applyAlignment="1">
      <alignment horizontal="center" vertical="center"/>
    </xf>
    <xf numFmtId="0" fontId="11" fillId="0" borderId="28" xfId="1" applyFill="1" applyBorder="1" applyAlignment="1">
      <alignment horizontal="center" vertical="bottom"/>
    </xf>
    <xf numFmtId="0" fontId="1" fillId="0" borderId="7" xfId="9" applyFont="1" applyFill="1" applyBorder="1" applyAlignment="1">
      <alignment horizontal="center" vertical="center"/>
    </xf>
    <xf numFmtId="171" fontId="11" fillId="0" borderId="40" xfId="9" applyNumberFormat="1" applyFont="1" applyFill="1" applyBorder="1" applyAlignment="1">
      <alignment horizontal="center" vertical="center"/>
    </xf>
    <xf numFmtId="0" fontId="11" fillId="0" borderId="40" xfId="1" applyFill="1" applyBorder="1" applyAlignment="1">
      <alignment horizontal="center" vertical="bottom"/>
    </xf>
    <xf numFmtId="0" fontId="11" fillId="0" borderId="0" xfId="1" applyFill="1" applyAlignment="1">
      <alignment horizontal="center" vertical="bottom"/>
    </xf>
    <xf numFmtId="0" fontId="67" fillId="0" borderId="0" xfId="9" applyFont="1" applyFill="1" applyBorder="1" applyAlignment="1">
      <alignment horizontal="center" vertical="center"/>
    </xf>
    <xf numFmtId="0" fontId="1" fillId="0" borderId="0" xfId="9" applyFont="1" applyFill="1" applyBorder="1" applyAlignment="1">
      <alignment horizontal="center" vertical="center"/>
    </xf>
    <xf numFmtId="0" fontId="11" fillId="0" borderId="28" xfId="0" applyNumberFormat="1" applyFont="1" applyFill="1" applyBorder="1" applyAlignment="1">
      <alignment horizontal="center" vertical="center"/>
    </xf>
    <xf numFmtId="171" fontId="11" fillId="0" borderId="40" xfId="0" applyNumberFormat="1" applyFont="1" applyFill="1" applyBorder="1" applyAlignment="1">
      <alignment horizontal="center" vertical="center"/>
    </xf>
    <xf numFmtId="0" fontId="60" fillId="0" borderId="0" xfId="1" applyFont="1" applyFill="1" applyBorder="1" applyAlignment="1">
      <alignment horizontal="center" vertical="bottom"/>
    </xf>
    <xf numFmtId="0" fontId="11" fillId="0" borderId="0" xfId="9" applyFont="1" applyFill="1" applyBorder="1" applyAlignment="1">
      <alignment horizontal="center" vertical="center"/>
    </xf>
    <xf numFmtId="0" fontId="11" fillId="0" borderId="0" xfId="9" applyFont="1" applyFill="1" applyAlignment="1">
      <alignment horizontal="center" vertical="center"/>
    </xf>
    <xf numFmtId="0" fontId="1" fillId="0" borderId="0" xfId="9" applyFont="1" applyFill="1" applyBorder="1" applyAlignment="1">
      <alignment horizontal="center" vertical="center"/>
    </xf>
    <xf numFmtId="2" fontId="67" fillId="0" borderId="0" xfId="9" applyNumberFormat="1" applyFont="1" applyFill="1" applyBorder="1" applyAlignment="1">
      <alignment horizontal="center" vertical="center"/>
    </xf>
    <xf numFmtId="2" fontId="67" fillId="69" borderId="0" xfId="9" applyNumberFormat="1" applyFont="1" applyBorder="1" applyAlignment="1">
      <alignment horizontal="center" vertical="center"/>
    </xf>
    <xf numFmtId="0" fontId="67" fillId="69" borderId="0" xfId="9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170" fontId="67" fillId="69" borderId="1" xfId="9" applyNumberFormat="1" applyFont="1" applyBorder="1" applyAlignment="1">
      <alignment horizontal="center" vertical="center"/>
    </xf>
    <xf numFmtId="170" fontId="60" fillId="0" borderId="1" xfId="1" applyNumberFormat="1" applyFont="1" applyFill="1" applyBorder="1" applyAlignment="1">
      <alignment horizontal="center" vertical="bottom"/>
    </xf>
    <xf numFmtId="0" fontId="1" fillId="0" borderId="1" xfId="0" applyFont="1" applyBorder="1" applyAlignment="1">
      <alignment horizontal="center" vertical="center"/>
    </xf>
    <xf numFmtId="167" fontId="67" fillId="69" borderId="0" xfId="9" applyNumberFormat="1" applyFont="1" applyBorder="1" applyAlignment="1">
      <alignment horizontal="center" vertical="center"/>
    </xf>
    <xf numFmtId="0" fontId="11" fillId="0" borderId="28" xfId="9" applyNumberFormat="1" applyFont="1" applyFill="1" applyBorder="1" applyAlignment="1">
      <alignment horizontal="center" vertical="center"/>
    </xf>
    <xf numFmtId="0" fontId="11" fillId="0" borderId="40" xfId="9" applyFont="1" applyFill="1" applyBorder="1" applyAlignment="1">
      <alignment horizontal="center" vertical="center"/>
    </xf>
    <xf numFmtId="0" fontId="11" fillId="0" borderId="1" xfId="0" applyNumberFormat="1" applyFont="1" applyFill="1" applyBorder="1" applyAlignment="1">
      <alignment horizontal="center" vertical="center"/>
    </xf>
    <xf numFmtId="171" fontId="11" fillId="0" borderId="1" xfId="0" applyNumberFormat="1" applyFont="1" applyFill="1" applyBorder="1" applyAlignment="1">
      <alignment horizontal="center" vertical="center"/>
    </xf>
    <xf numFmtId="0" fontId="11" fillId="6" borderId="1" xfId="0" applyFont="1" applyFill="1" applyBorder="1" applyAlignment="1">
      <alignment horizontal="center" vertical="center"/>
    </xf>
    <xf numFmtId="0" fontId="11" fillId="27" borderId="1" xfId="0" applyFont="1" applyFill="1" applyBorder="1" applyAlignment="1">
      <alignment horizontal="center" vertical="center"/>
    </xf>
    <xf numFmtId="167" fontId="11" fillId="27" borderId="1" xfId="0" applyNumberFormat="1" applyFont="1" applyFill="1" applyBorder="1" applyAlignment="1">
      <alignment horizontal="center" vertical="center"/>
    </xf>
    <xf numFmtId="167" fontId="40" fillId="6" borderId="1" xfId="0" applyNumberFormat="1" applyFont="1" applyFill="1" applyBorder="1" applyAlignment="1">
      <alignment horizontal="center" vertical="center"/>
    </xf>
    <xf numFmtId="0" fontId="1" fillId="0" borderId="0" xfId="9" applyFont="1" applyFill="1" applyBorder="1" applyAlignment="1">
      <alignment horizontal="center" vertical="center"/>
    </xf>
    <xf numFmtId="0" fontId="1" fillId="0" borderId="0" xfId="0" applyFont="1" applyFill="1" applyAlignment="1">
      <alignment horizontal="center" vertical="center"/>
    </xf>
    <xf numFmtId="0" fontId="13" fillId="5" borderId="1" xfId="1" applyFont="1" applyFill="1" applyBorder="1" applyAlignment="1">
      <alignment horizontal="center" vertical="center"/>
      <protection locked="1" hidden="1"/>
    </xf>
    <xf numFmtId="0" fontId="67" fillId="69" borderId="1" xfId="9" applyFont="1" applyBorder="1" applyAlignment="1">
      <alignment horizontal="center" vertical="center"/>
    </xf>
    <xf numFmtId="0" fontId="11" fillId="0" borderId="1" xfId="1" applyBorder="1" applyAlignment="1">
      <alignment horizontal="center" vertical="center"/>
    </xf>
    <xf numFmtId="172" fontId="11" fillId="0" borderId="28" xfId="6" applyNumberFormat="1" applyFont="1" applyBorder="1" applyAlignment="1">
      <alignment horizontal="center" vertical="center"/>
    </xf>
    <xf numFmtId="0" fontId="11" fillId="50" borderId="28" xfId="1" applyFill="1" applyBorder="1" applyAlignment="1">
      <alignment horizontal="center" vertical="center"/>
    </xf>
    <xf numFmtId="167" fontId="88" fillId="13" borderId="1" xfId="1" applyNumberFormat="1" applyFont="1" applyFill="1" applyBorder="1" applyAlignment="1">
      <alignment horizontal="center" vertical="center"/>
      <protection locked="1" hidden="1"/>
    </xf>
    <xf numFmtId="167" fontId="89" fillId="14" borderId="1" xfId="1" applyNumberFormat="1" applyFont="1" applyFill="1" applyBorder="1" applyAlignment="1">
      <alignment horizontal="center" vertical="center"/>
      <protection locked="1" hidden="1"/>
    </xf>
    <xf numFmtId="0" fontId="11" fillId="0" borderId="33" xfId="1" applyBorder="1" applyAlignment="1">
      <alignment horizontal="center" vertical="center"/>
    </xf>
    <xf numFmtId="171" fontId="67" fillId="69" borderId="28" xfId="9" applyNumberFormat="1" applyFont="1" applyBorder="1" applyAlignment="1">
      <alignment horizontal="center" vertical="center"/>
    </xf>
    <xf numFmtId="172" fontId="11" fillId="0" borderId="31" xfId="6" applyNumberFormat="1" applyFont="1" applyBorder="1" applyAlignment="1">
      <alignment horizontal="center" vertical="center"/>
    </xf>
    <xf numFmtId="0" fontId="11" fillId="50" borderId="31" xfId="1" applyFill="1" applyBorder="1" applyAlignment="1">
      <alignment horizontal="center" vertical="center"/>
    </xf>
    <xf numFmtId="2" fontId="90" fillId="15" borderId="1" xfId="1" applyNumberFormat="1" applyFont="1" applyFill="1" applyBorder="1" applyAlignment="1">
      <alignment horizontal="center" vertical="center"/>
      <protection locked="1" hidden="1"/>
    </xf>
    <xf numFmtId="2" fontId="91" fillId="16" borderId="1" xfId="1" applyNumberFormat="1" applyFont="1" applyFill="1" applyBorder="1" applyAlignment="1">
      <alignment horizontal="center" vertical="center"/>
      <protection locked="1" hidden="1"/>
    </xf>
    <xf numFmtId="171" fontId="67" fillId="69" borderId="40" xfId="9" applyNumberFormat="1" applyFont="1" applyBorder="1" applyAlignment="1">
      <alignment horizontal="center" vertical="center"/>
    </xf>
    <xf numFmtId="164" fontId="36" fillId="19" borderId="1" xfId="1" applyNumberFormat="1" applyFont="1" applyFill="1" applyBorder="1" applyAlignment="1">
      <alignment horizontal="center" vertical="center"/>
      <protection locked="1" hidden="1"/>
    </xf>
    <xf numFmtId="164" fontId="89" fillId="20" borderId="1" xfId="1" applyNumberFormat="1" applyFont="1" applyFill="1" applyBorder="1" applyAlignment="1">
      <alignment horizontal="center" vertical="center"/>
      <protection locked="1" hidden="1"/>
    </xf>
    <xf numFmtId="0" fontId="1" fillId="0" borderId="0" xfId="0" applyFont="1" applyFill="1" applyBorder="1" applyAlignment="1">
      <alignment horizontal="center" vertical="center"/>
    </xf>
    <xf numFmtId="167" fontId="11" fillId="0" borderId="0" xfId="1" applyNumberFormat="1" applyAlignment="1">
      <alignment horizontal="center" vertical="center"/>
    </xf>
    <xf numFmtId="167" fontId="11" fillId="0" borderId="34" xfId="1" applyNumberFormat="1" applyBorder="1" applyAlignment="1">
      <alignment horizontal="center" vertical="center"/>
    </xf>
    <xf numFmtId="164" fontId="92" fillId="25" borderId="1" xfId="1" applyNumberFormat="1" applyFont="1" applyFill="1" applyBorder="1" applyAlignment="1">
      <alignment horizontal="center" vertical="center"/>
      <protection locked="1" hidden="1"/>
    </xf>
    <xf numFmtId="172" fontId="11" fillId="0" borderId="40" xfId="6" applyNumberFormat="1" applyFont="1" applyBorder="1" applyAlignment="1">
      <alignment horizontal="center" vertical="center"/>
    </xf>
    <xf numFmtId="0" fontId="11" fillId="50" borderId="40" xfId="1" applyFill="1" applyBorder="1" applyAlignment="1">
      <alignment horizontal="center" vertical="center"/>
    </xf>
    <xf numFmtId="164" fontId="1" fillId="0" borderId="0" xfId="9" applyNumberFormat="1" applyFont="1" applyFill="1" applyBorder="1" applyAlignment="1">
      <alignment horizontal="center" vertical="center"/>
    </xf>
    <xf numFmtId="171" fontId="67" fillId="69" borderId="0" xfId="9" applyNumberFormat="1" applyFont="1" applyBorder="1" applyAlignment="1">
      <alignment horizontal="center" vertical="center"/>
    </xf>
    <xf numFmtId="0" fontId="67" fillId="81" borderId="7" xfId="9" applyNumberFormat="1" applyFont="1" applyFill="1" applyBorder="1" applyAlignment="1">
      <alignment horizontal="center" vertical="center"/>
    </xf>
    <xf numFmtId="0" fontId="67" fillId="81" borderId="43" xfId="9" applyNumberFormat="1" applyFont="1" applyFill="1" applyBorder="1" applyAlignment="1">
      <alignment horizontal="center" vertical="center"/>
    </xf>
    <xf numFmtId="0" fontId="67" fillId="81" borderId="8" xfId="9" applyNumberFormat="1" applyFont="1" applyFill="1" applyBorder="1" applyAlignment="1">
      <alignment horizontal="center" vertical="center"/>
    </xf>
    <xf numFmtId="166" fontId="93" fillId="42" borderId="29" xfId="1" applyNumberFormat="1" applyFont="1" applyFill="1" applyBorder="1" applyAlignment="1">
      <alignment horizontal="center" vertical="center"/>
    </xf>
    <xf numFmtId="166" fontId="93" fillId="42" borderId="30" xfId="1" applyNumberFormat="1" applyFont="1" applyFill="1" applyBorder="1" applyAlignment="1">
      <alignment horizontal="center" vertical="center"/>
    </xf>
    <xf numFmtId="0" fontId="94" fillId="0" borderId="33" xfId="1" applyFont="1" applyBorder="1">
      <alignment vertical="center"/>
    </xf>
    <xf numFmtId="0" fontId="95" fillId="37" borderId="29" xfId="1" applyFont="1" applyFill="1" applyBorder="1" applyAlignment="1">
      <alignment horizontal="center" vertical="center"/>
    </xf>
    <xf numFmtId="0" fontId="95" fillId="37" borderId="35" xfId="1" applyFont="1" applyFill="1" applyBorder="1" applyAlignment="1">
      <alignment horizontal="center" vertical="center"/>
    </xf>
    <xf numFmtId="0" fontId="95" fillId="37" borderId="30" xfId="1" applyFont="1" applyFill="1" applyBorder="1" applyAlignment="1">
      <alignment horizontal="center" vertical="center"/>
    </xf>
    <xf numFmtId="2" fontId="11" fillId="0" borderId="0" xfId="1" applyNumberFormat="1" applyAlignment="1">
      <alignment horizontal="center" vertical="center"/>
      <protection locked="0" hidden="0"/>
    </xf>
    <xf numFmtId="0" fontId="11" fillId="28" borderId="1" xfId="1" applyFill="1" applyBorder="1" applyAlignment="1">
      <alignment horizontal="center" vertical="center"/>
    </xf>
    <xf numFmtId="0" fontId="96" fillId="12" borderId="1" xfId="1" applyFont="1" applyFill="1" applyBorder="1" applyAlignment="1">
      <alignment horizontal="center" vertical="center"/>
      <protection locked="1" hidden="1"/>
    </xf>
    <xf numFmtId="2" fontId="54" fillId="12" borderId="1" xfId="1" applyNumberFormat="1" applyFont="1" applyFill="1" applyBorder="1" applyAlignment="1">
      <alignment horizontal="center" vertical="center"/>
      <protection locked="1" hidden="1"/>
    </xf>
    <xf numFmtId="171" fontId="11" fillId="0" borderId="0" xfId="1" applyNumberFormat="1" applyAlignment="1">
      <alignment horizontal="center" vertical="center"/>
    </xf>
    <xf numFmtId="166" fontId="93" fillId="42" borderId="32" xfId="1" applyNumberFormat="1" applyFont="1" applyFill="1" applyBorder="1" applyAlignment="1">
      <alignment horizontal="center" vertical="center"/>
    </xf>
    <xf numFmtId="166" fontId="93" fillId="42" borderId="39" xfId="1" applyNumberFormat="1" applyFont="1" applyFill="1" applyBorder="1" applyAlignment="1">
      <alignment horizontal="center" vertical="center"/>
    </xf>
    <xf numFmtId="0" fontId="95" fillId="37" borderId="32" xfId="1" applyFont="1" applyFill="1" applyBorder="1" applyAlignment="1">
      <alignment horizontal="center" vertical="center"/>
    </xf>
    <xf numFmtId="0" fontId="95" fillId="37" borderId="38" xfId="1" applyFont="1" applyFill="1" applyBorder="1" applyAlignment="1">
      <alignment horizontal="center" vertical="center"/>
    </xf>
    <xf numFmtId="0" fontId="95" fillId="37" borderId="39" xfId="1" applyFont="1" applyFill="1" applyBorder="1" applyAlignment="1">
      <alignment horizontal="center" vertical="center"/>
    </xf>
    <xf numFmtId="9" fontId="11" fillId="0" borderId="1" xfId="1" applyNumberFormat="1" applyBorder="1" applyAlignment="1">
      <alignment horizontal="center" vertical="center"/>
    </xf>
    <xf numFmtId="0" fontId="97" fillId="24" borderId="1" xfId="1" applyFont="1" applyFill="1" applyBorder="1" applyAlignment="1">
      <alignment horizontal="center" vertical="center"/>
    </xf>
    <xf numFmtId="1" fontId="16" fillId="24" borderId="1" xfId="1" applyNumberFormat="1" applyFont="1" applyFill="1" applyBorder="1" applyAlignment="1">
      <alignment horizontal="center" vertical="center"/>
    </xf>
    <xf numFmtId="0" fontId="33" fillId="0" borderId="0" xfId="1" applyFont="1" applyAlignment="1">
      <alignment horizontal="center" vertical="center"/>
    </xf>
    <xf numFmtId="0" fontId="11" fillId="42" borderId="1" xfId="1" applyFill="1" applyBorder="1" applyAlignment="1">
      <alignment horizontal="center" vertical="center"/>
    </xf>
    <xf numFmtId="9" fontId="54" fillId="24" borderId="1" xfId="6" applyFont="1" applyFill="1" applyBorder="1" applyAlignment="1">
      <alignment horizontal="center" vertical="center"/>
    </xf>
    <xf numFmtId="167" fontId="11" fillId="0" borderId="1" xfId="1" applyNumberFormat="1" applyBorder="1" applyAlignment="1">
      <alignment horizontal="center" vertical="center"/>
    </xf>
    <xf numFmtId="0" fontId="13" fillId="0" borderId="0" xfId="8" applyFont="1" applyAlignment="1">
      <alignment horizontal="center" vertical="bottom"/>
    </xf>
    <xf numFmtId="167" fontId="98" fillId="0" borderId="1" xfId="8" applyNumberFormat="1" applyFont="1" applyBorder="1" applyAlignment="1">
      <alignment horizontal="center" vertical="center"/>
    </xf>
    <xf numFmtId="2" fontId="11" fillId="28" borderId="1" xfId="1" applyNumberFormat="1" applyFill="1" applyBorder="1" applyAlignment="1">
      <alignment horizontal="center" vertical="center"/>
    </xf>
    <xf numFmtId="9" fontId="56" fillId="0" borderId="28" xfId="9" applyNumberFormat="1" applyFont="1" applyFill="1" applyBorder="1" applyAlignment="1">
      <alignment horizontal="center" vertical="center"/>
      <protection locked="1" hidden="1"/>
    </xf>
    <xf numFmtId="167" fontId="11" fillId="0" borderId="28" xfId="1" applyNumberFormat="1" applyBorder="1" applyAlignment="1">
      <alignment horizontal="center" vertical="center"/>
    </xf>
    <xf numFmtId="167" fontId="98" fillId="0" borderId="1" xfId="8" applyNumberFormat="1" applyFont="1" applyBorder="1" applyAlignment="1">
      <alignment horizontal="center" vertical="bottom"/>
    </xf>
    <xf numFmtId="173" fontId="54" fillId="12" borderId="1" xfId="1" applyNumberFormat="1" applyFont="1" applyFill="1" applyBorder="1" applyAlignment="1">
      <alignment horizontal="center" vertical="center"/>
      <protection locked="1" hidden="1"/>
    </xf>
    <xf numFmtId="167" fontId="11" fillId="42" borderId="7" xfId="1" applyNumberFormat="1" applyFill="1" applyBorder="1" applyAlignment="1">
      <alignment horizontal="center" vertical="center"/>
    </xf>
    <xf numFmtId="167" fontId="11" fillId="42" borderId="8" xfId="1" applyNumberFormat="1" applyFill="1" applyBorder="1" applyAlignment="1">
      <alignment horizontal="center" vertical="center"/>
    </xf>
    <xf numFmtId="9" fontId="56" fillId="0" borderId="31" xfId="9" applyNumberFormat="1" applyFont="1" applyFill="1" applyBorder="1" applyAlignment="1">
      <alignment horizontal="center" vertical="center"/>
      <protection locked="1" hidden="1"/>
    </xf>
    <xf numFmtId="167" fontId="11" fillId="0" borderId="40" xfId="1" applyNumberFormat="1" applyBorder="1" applyAlignment="1">
      <alignment horizontal="center" vertical="center"/>
    </xf>
    <xf numFmtId="0" fontId="11" fillId="35" borderId="1" xfId="1" applyFill="1" applyBorder="1" applyAlignment="1">
      <alignment horizontal="center" vertical="center"/>
    </xf>
    <xf numFmtId="2" fontId="13" fillId="0" borderId="0" xfId="1" applyNumberFormat="1" applyFont="1" applyAlignment="1">
      <alignment horizontal="center" vertical="center"/>
      <protection locked="0" hidden="0"/>
    </xf>
    <xf numFmtId="9" fontId="60" fillId="28" borderId="1" xfId="12" applyFont="1" applyFill="1" applyBorder="1" applyAlignment="1">
      <alignment horizontal="center" vertical="center"/>
    </xf>
    <xf numFmtId="11" fontId="67" fillId="0" borderId="0" xfId="9" applyNumberFormat="1" applyFont="1" applyFill="1" applyAlignment="1">
      <alignment horizontal="center" vertical="center"/>
    </xf>
    <xf numFmtId="9" fontId="56" fillId="0" borderId="40" xfId="9" applyNumberFormat="1" applyFont="1" applyFill="1" applyBorder="1" applyAlignment="1">
      <alignment horizontal="center" vertical="center"/>
      <protection locked="1" hidden="1"/>
    </xf>
    <xf numFmtId="0" fontId="36" fillId="0" borderId="0" xfId="8" applyFont="1" applyAlignment="1">
      <alignment horizontal="center" vertical="bottom"/>
    </xf>
    <xf numFmtId="0" fontId="54" fillId="12" borderId="1" xfId="1" applyFont="1" applyFill="1" applyBorder="1" applyAlignment="1">
      <alignment horizontal="center" vertical="center"/>
      <protection locked="1" hidden="1"/>
    </xf>
    <xf numFmtId="0" fontId="54" fillId="18" borderId="1" xfId="1" applyFont="1" applyFill="1" applyBorder="1" applyAlignment="1">
      <alignment horizontal="center" vertical="center"/>
      <protection locked="1" hidden="1"/>
    </xf>
    <xf numFmtId="0" fontId="13" fillId="24" borderId="1" xfId="1" applyFont="1" applyFill="1" applyBorder="1" applyAlignment="1">
      <alignment horizontal="center" vertical="center"/>
      <protection locked="1" hidden="1"/>
    </xf>
    <xf numFmtId="11" fontId="11" fillId="0" borderId="0" xfId="1" applyNumberFormat="1" applyAlignment="1">
      <alignment horizontal="center" vertical="center"/>
    </xf>
    <xf numFmtId="0" fontId="11" fillId="82" borderId="0" xfId="1" applyFill="1" applyAlignment="1">
      <alignment horizontal="center" vertical="center"/>
    </xf>
    <xf numFmtId="0" fontId="13" fillId="42" borderId="1" xfId="1" applyFont="1" applyFill="1" applyBorder="1" applyAlignment="1">
      <alignment horizontal="center" vertical="center"/>
    </xf>
    <xf numFmtId="0" fontId="87" fillId="0" borderId="1" xfId="1" applyFont="1" applyBorder="1" applyAlignment="1">
      <alignment horizontal="center" vertical="center"/>
    </xf>
    <xf numFmtId="11" fontId="11" fillId="0" borderId="28" xfId="1" applyNumberFormat="1" applyBorder="1" applyAlignment="1">
      <alignment horizontal="center" vertical="center"/>
    </xf>
    <xf numFmtId="0" fontId="70" fillId="0" borderId="1" xfId="1" applyFont="1" applyBorder="1" applyAlignment="1">
      <alignment horizontal="center" vertical="center"/>
    </xf>
    <xf numFmtId="11" fontId="11" fillId="0" borderId="40" xfId="1" applyNumberFormat="1" applyBorder="1" applyAlignment="1">
      <alignment horizontal="center" vertical="center"/>
    </xf>
    <xf numFmtId="0" fontId="11" fillId="0" borderId="40" xfId="1" applyBorder="1" applyAlignment="1">
      <alignment horizontal="center" vertical="center"/>
    </xf>
    <xf numFmtId="0" fontId="99" fillId="0" borderId="1" xfId="1" applyFont="1" applyBorder="1" applyAlignment="1">
      <alignment horizontal="center" vertical="center"/>
    </xf>
    <xf numFmtId="0" fontId="100" fillId="0" borderId="1" xfId="1" applyFont="1" applyBorder="1" applyAlignment="1">
      <alignment horizontal="center" vertical="center"/>
    </xf>
    <xf numFmtId="167" fontId="40" fillId="27" borderId="1" xfId="0" applyNumberFormat="1" applyFont="1" applyFill="1" applyBorder="1" applyAlignment="1">
      <alignment horizontal="center" vertical="center"/>
    </xf>
    <xf numFmtId="0" fontId="67" fillId="69" borderId="0" xfId="9" applyFont="1" applyBorder="1" applyAlignment="1">
      <alignment horizontal="center" vertical="center"/>
    </xf>
    <xf numFmtId="0" fontId="67" fillId="69" borderId="1" xfId="9" applyFont="1" applyBorder="1" applyAlignment="1">
      <alignment horizontal="center" vertical="center"/>
    </xf>
    <xf numFmtId="0" fontId="67" fillId="0" borderId="35" xfId="9" applyFont="1" applyFill="1" applyBorder="1" applyAlignment="1">
      <alignment horizontal="center" vertical="center"/>
    </xf>
    <xf numFmtId="0" fontId="67" fillId="0" borderId="30" xfId="9" applyFont="1" applyFill="1" applyBorder="1" applyAlignment="1">
      <alignment horizontal="center" vertical="center"/>
    </xf>
    <xf numFmtId="170" fontId="67" fillId="69" borderId="33" xfId="9" applyNumberFormat="1" applyFont="1" applyBorder="1" applyAlignment="1">
      <alignment horizontal="center" vertical="center"/>
    </xf>
    <xf numFmtId="170" fontId="67" fillId="69" borderId="0" xfId="9" applyNumberFormat="1" applyFont="1" applyBorder="1" applyAlignment="1">
      <alignment horizontal="center" vertical="center"/>
    </xf>
    <xf numFmtId="0" fontId="11" fillId="0" borderId="28" xfId="1" applyBorder="1" applyAlignment="1">
      <alignment horizontal="center" vertical="center"/>
    </xf>
    <xf numFmtId="167" fontId="60" fillId="0" borderId="1" xfId="1" applyNumberFormat="1" applyFont="1" applyFill="1" applyBorder="1" applyAlignment="1">
      <alignment horizontal="center" vertical="bottom"/>
    </xf>
    <xf numFmtId="0" fontId="1" fillId="0" borderId="0" xfId="9" applyFont="1" applyFill="1" applyBorder="1" applyAlignment="1">
      <alignment horizontal="center" vertical="center"/>
    </xf>
    <xf numFmtId="0" fontId="69" fillId="42" borderId="1" xfId="1" applyFont="1" applyFill="1" applyBorder="1" applyAlignment="1">
      <alignment horizontal="center" vertical="bottom"/>
    </xf>
    <xf numFmtId="0" fontId="70" fillId="0" borderId="1" xfId="1" applyFont="1" applyBorder="1" applyAlignment="1">
      <alignment horizontal="center" vertical="bottom"/>
    </xf>
    <xf numFmtId="0" fontId="11" fillId="0" borderId="28" xfId="0" applyFont="1" applyBorder="1" applyAlignment="1">
      <alignment horizontal="center" vertical="center"/>
    </xf>
    <xf numFmtId="0" fontId="11" fillId="0" borderId="30" xfId="0" applyFont="1" applyBorder="1" applyAlignment="1">
      <alignment horizontal="center" vertical="center"/>
    </xf>
    <xf numFmtId="0" fontId="11" fillId="0" borderId="34" xfId="0" applyFont="1" applyBorder="1" applyAlignment="1">
      <alignment horizontal="center" vertical="center"/>
    </xf>
    <xf numFmtId="0" fontId="62" fillId="47" borderId="1" xfId="1" applyFont="1" applyFill="1" applyBorder="1" applyAlignment="1">
      <alignment horizontal="center" vertical="center"/>
    </xf>
    <xf numFmtId="0" fontId="62" fillId="47" borderId="28" xfId="1" applyFont="1" applyFill="1" applyBorder="1" applyAlignment="1">
      <alignment horizontal="center" vertical="bottom"/>
    </xf>
    <xf numFmtId="167" fontId="62" fillId="50" borderId="28" xfId="1" applyNumberFormat="1" applyFont="1" applyFill="1" applyBorder="1" applyAlignment="1">
      <alignment horizontal="center" vertical="bottom"/>
    </xf>
    <xf numFmtId="0" fontId="62" fillId="47" borderId="31" xfId="1" applyFont="1" applyFill="1" applyBorder="1" applyAlignment="1">
      <alignment horizontal="center" vertical="bottom"/>
    </xf>
    <xf numFmtId="167" fontId="62" fillId="50" borderId="31" xfId="1" applyNumberFormat="1" applyFont="1" applyFill="1" applyBorder="1" applyAlignment="1">
      <alignment horizontal="center" vertical="bottom"/>
    </xf>
    <xf numFmtId="0" fontId="11" fillId="0" borderId="40" xfId="0" applyFont="1" applyBorder="1" applyAlignment="1">
      <alignment horizontal="center" vertical="center"/>
    </xf>
    <xf numFmtId="0" fontId="11" fillId="0" borderId="39" xfId="0" applyFont="1" applyBorder="1" applyAlignment="1">
      <alignment horizontal="center" vertical="center"/>
    </xf>
    <xf numFmtId="0" fontId="62" fillId="47" borderId="7" xfId="1" applyFont="1" applyFill="1" applyBorder="1" applyAlignment="1">
      <alignment horizontal="center" vertical="center"/>
    </xf>
    <xf numFmtId="0" fontId="25" fillId="47" borderId="40" xfId="1" applyFont="1" applyFill="1" applyBorder="1" applyAlignment="1">
      <alignment horizontal="center" vertical="center"/>
    </xf>
    <xf numFmtId="0" fontId="67" fillId="74" borderId="1" xfId="9" applyFont="1" applyFill="1" applyBorder="1" applyAlignment="1">
      <alignment horizontal="center" vertical="center"/>
    </xf>
    <xf numFmtId="0" fontId="61" fillId="47" borderId="7" xfId="1" applyFont="1" applyFill="1" applyBorder="1" applyAlignment="1">
      <alignment horizontal="center" vertical="bottom"/>
    </xf>
    <xf numFmtId="167" fontId="63" fillId="47" borderId="1" xfId="1" applyNumberFormat="1" applyFont="1" applyFill="1" applyBorder="1" applyAlignment="1">
      <alignment horizontal="center" vertical="center"/>
    </xf>
    <xf numFmtId="0" fontId="70" fillId="0" borderId="28" xfId="1" applyFont="1" applyBorder="1" applyAlignment="1">
      <alignment horizontal="center" vertical="bottom"/>
    </xf>
    <xf numFmtId="164" fontId="60" fillId="0" borderId="0" xfId="1" applyNumberFormat="1" applyFont="1" applyFill="1" applyBorder="1" applyAlignment="1">
      <alignment horizontal="center" vertical="bottom"/>
    </xf>
    <xf numFmtId="171" fontId="63" fillId="47" borderId="1" xfId="1" applyNumberFormat="1" applyFont="1" applyFill="1" applyBorder="1" applyAlignment="1">
      <alignment horizontal="center" vertical="center"/>
    </xf>
    <xf numFmtId="2" fontId="60" fillId="0" borderId="0" xfId="1" applyNumberFormat="1" applyFont="1" applyFill="1" applyBorder="1" applyAlignment="1">
      <alignment horizontal="center" vertical="bottom"/>
    </xf>
    <xf numFmtId="0" fontId="101" fillId="0" borderId="0" xfId="1" applyFont="1" applyFill="1" applyBorder="1" applyAlignment="1">
      <alignment horizontal="center" vertical="bottom"/>
    </xf>
    <xf numFmtId="170" fontId="40" fillId="69" borderId="8" xfId="9" applyNumberFormat="1" applyFont="1" applyBorder="1" applyAlignment="1">
      <alignment horizontal="center" vertical="center"/>
    </xf>
    <xf numFmtId="0" fontId="1" fillId="42" borderId="0" xfId="0" applyFont="1" applyFill="1" applyAlignment="1">
      <alignment horizontal="center" vertical="center"/>
    </xf>
    <xf numFmtId="170" fontId="11" fillId="42" borderId="0" xfId="0" applyNumberFormat="1" applyFont="1" applyFill="1" applyAlignment="1">
      <alignment horizontal="center" vertical="center"/>
    </xf>
    <xf numFmtId="0" fontId="87" fillId="42" borderId="1" xfId="9" applyFont="1" applyFill="1" applyBorder="1" applyAlignment="1">
      <alignment horizontal="center" vertical="center"/>
    </xf>
    <xf numFmtId="9" fontId="1" fillId="0" borderId="28" xfId="9" applyNumberFormat="1" applyFont="1" applyFill="1" applyBorder="1" applyAlignment="1">
      <alignment horizontal="center" vertical="center"/>
    </xf>
    <xf numFmtId="169" fontId="1" fillId="0" borderId="28" xfId="9" applyNumberFormat="1" applyFont="1" applyFill="1" applyBorder="1" applyAlignment="1">
      <alignment horizontal="center" vertical="center"/>
    </xf>
    <xf numFmtId="0" fontId="67" fillId="69" borderId="49" xfId="9" applyFont="1" applyBorder="1" applyAlignment="1">
      <alignment horizontal="center" vertical="center"/>
    </xf>
    <xf numFmtId="0" fontId="67" fillId="69" borderId="50" xfId="9" applyFont="1" applyBorder="1" applyAlignment="1">
      <alignment horizontal="center" vertical="center"/>
    </xf>
    <xf numFmtId="0" fontId="11" fillId="27" borderId="48" xfId="0" applyFont="1" applyFill="1" applyBorder="1" applyAlignment="1">
      <alignment horizontal="center" vertical="center"/>
    </xf>
    <xf numFmtId="0" fontId="1" fillId="0" borderId="28" xfId="9" applyFont="1" applyFill="1" applyBorder="1" applyAlignment="1">
      <alignment horizontal="center" vertical="center"/>
    </xf>
    <xf numFmtId="0" fontId="67" fillId="69" borderId="51" xfId="9" applyFont="1" applyBorder="1" applyAlignment="1">
      <alignment horizontal="center" vertical="center"/>
    </xf>
    <xf numFmtId="167" fontId="67" fillId="69" borderId="49" xfId="9" applyNumberFormat="1" applyFont="1" applyBorder="1" applyAlignment="1">
      <alignment horizontal="center" vertical="center"/>
    </xf>
    <xf numFmtId="0" fontId="67" fillId="69" borderId="52" xfId="9" applyFont="1" applyBorder="1" applyAlignment="1">
      <alignment horizontal="center" vertical="center"/>
    </xf>
    <xf numFmtId="167" fontId="67" fillId="69" borderId="48" xfId="9" applyNumberFormat="1" applyFont="1" applyBorder="1" applyAlignment="1">
      <alignment horizontal="center" vertical="center"/>
    </xf>
    <xf numFmtId="0" fontId="1" fillId="0" borderId="40" xfId="9" applyFont="1" applyFill="1" applyBorder="1" applyAlignment="1">
      <alignment horizontal="center" vertical="center"/>
    </xf>
    <xf numFmtId="0" fontId="1" fillId="0" borderId="39" xfId="9" applyFont="1" applyFill="1" applyBorder="1" applyAlignment="1">
      <alignment horizontal="center" vertical="center"/>
    </xf>
    <xf numFmtId="167" fontId="67" fillId="69" borderId="53" xfId="9" applyNumberFormat="1" applyFont="1" applyBorder="1" applyAlignment="1">
      <alignment horizontal="center" vertical="center"/>
    </xf>
    <xf numFmtId="0" fontId="67" fillId="69" borderId="47" xfId="9" applyFont="1" applyBorder="1" applyAlignment="1">
      <alignment horizontal="center" vertical="center"/>
    </xf>
    <xf numFmtId="0" fontId="67" fillId="69" borderId="53" xfId="9" applyFont="1" applyBorder="1" applyAlignment="1">
      <alignment horizontal="center" vertical="center"/>
    </xf>
    <xf numFmtId="9" fontId="1" fillId="0" borderId="1" xfId="9" applyNumberFormat="1" applyFont="1" applyFill="1" applyBorder="1" applyAlignment="1">
      <alignment horizontal="center" vertical="center"/>
    </xf>
    <xf numFmtId="0" fontId="67" fillId="69" borderId="46" xfId="9" applyFont="1" applyBorder="1" applyAlignment="1">
      <alignment horizontal="center" vertical="center"/>
    </xf>
    <xf numFmtId="167" fontId="67" fillId="69" borderId="54" xfId="9" applyNumberFormat="1" applyFont="1" applyBorder="1" applyAlignment="1">
      <alignment horizontal="center" vertical="center"/>
    </xf>
    <xf numFmtId="0" fontId="1" fillId="0" borderId="40" xfId="0" applyFont="1" applyFill="1" applyBorder="1" applyAlignment="1">
      <alignment horizontal="center" vertical="center"/>
    </xf>
    <xf numFmtId="167" fontId="40" fillId="27" borderId="48" xfId="0" applyNumberFormat="1" applyFont="1" applyFill="1" applyBorder="1" applyAlignment="1">
      <alignment horizontal="center" vertical="center"/>
    </xf>
    <xf numFmtId="0" fontId="67" fillId="69" borderId="54" xfId="9" applyFont="1" applyBorder="1" applyAlignment="1">
      <alignment horizontal="center" vertical="center"/>
    </xf>
    <xf numFmtId="0" fontId="67" fillId="69" borderId="45" xfId="9" applyFont="1" applyBorder="1">
      <alignment vertical="center"/>
    </xf>
    <xf numFmtId="2" fontId="67" fillId="69" borderId="49" xfId="9" applyNumberFormat="1" applyFont="1" applyBorder="1" applyAlignment="1">
      <alignment horizontal="center" vertical="center"/>
    </xf>
    <xf numFmtId="2" fontId="67" fillId="69" borderId="54" xfId="9" applyNumberFormat="1" applyFont="1" applyBorder="1" applyAlignment="1">
      <alignment horizontal="center" vertical="center"/>
    </xf>
    <xf numFmtId="0" fontId="1" fillId="0" borderId="48" xfId="9" applyFont="1" applyFill="1" applyBorder="1" applyAlignment="1">
      <alignment horizontal="center" vertical="center"/>
    </xf>
    <xf numFmtId="0" fontId="67" fillId="69" borderId="55" xfId="9" applyFont="1" applyBorder="1" applyAlignment="1">
      <alignment horizontal="center" vertical="center"/>
    </xf>
    <xf numFmtId="167" fontId="11" fillId="27" borderId="48" xfId="0" applyNumberFormat="1" applyFont="1" applyFill="1" applyBorder="1" applyAlignment="1">
      <alignment horizontal="center" vertical="center"/>
    </xf>
    <xf numFmtId="2" fontId="1" fillId="0" borderId="48" xfId="9" applyNumberFormat="1" applyFont="1" applyFill="1" applyBorder="1" applyAlignment="1">
      <alignment horizontal="center" vertical="center"/>
    </xf>
    <xf numFmtId="2" fontId="67" fillId="0" borderId="48" xfId="9" applyNumberFormat="1" applyFont="1" applyFill="1" applyBorder="1" applyAlignment="1">
      <alignment horizontal="center" vertical="center"/>
    </xf>
    <xf numFmtId="2" fontId="67" fillId="69" borderId="48" xfId="9" applyNumberFormat="1" applyFont="1" applyBorder="1" applyAlignment="1">
      <alignment horizontal="center" vertical="center"/>
    </xf>
    <xf numFmtId="167" fontId="67" fillId="69" borderId="55" xfId="9" applyNumberFormat="1" applyFont="1" applyBorder="1" applyAlignment="1">
      <alignment horizontal="center" vertical="center"/>
    </xf>
    <xf numFmtId="0" fontId="67" fillId="69" borderId="45" xfId="9" applyFont="1" applyBorder="1" applyAlignment="1">
      <alignment horizontal="center" vertical="center"/>
    </xf>
    <xf numFmtId="0" fontId="70" fillId="0" borderId="28" xfId="9" applyFont="1" applyFill="1" applyBorder="1" applyAlignment="1">
      <alignment horizontal="center" vertical="center"/>
    </xf>
    <xf numFmtId="0" fontId="40" fillId="0" borderId="1" xfId="0" applyFont="1" applyBorder="1" applyAlignment="1">
      <alignment horizontal="center" vertical="center"/>
    </xf>
    <xf numFmtId="0" fontId="40" fillId="0" borderId="1" xfId="0" applyFont="1" applyFill="1" applyBorder="1" applyAlignment="1">
      <alignment horizontal="center" vertical="center"/>
    </xf>
    <xf numFmtId="0" fontId="60" fillId="0" borderId="7" xfId="10" applyFont="1" applyFill="1" applyBorder="1" applyAlignment="1">
      <alignment horizontal="center" vertical="center"/>
    </xf>
    <xf numFmtId="0" fontId="1" fillId="27" borderId="48" xfId="0" applyFont="1" applyFill="1" applyBorder="1" applyAlignment="1">
      <alignment horizontal="center" vertical="center"/>
    </xf>
    <xf numFmtId="169" fontId="67" fillId="0" borderId="40" xfId="9" applyNumberFormat="1" applyFont="1" applyFill="1" applyBorder="1" applyAlignment="1">
      <alignment horizontal="center" vertical="center"/>
    </xf>
    <xf numFmtId="0" fontId="60" fillId="0" borderId="33" xfId="10" applyFont="1" applyFill="1" applyBorder="1" applyAlignment="1">
      <alignment horizontal="center" vertical="center"/>
    </xf>
    <xf numFmtId="0" fontId="60" fillId="0" borderId="34" xfId="10" applyFont="1" applyFill="1" applyBorder="1" applyAlignment="1">
      <alignment horizontal="center" vertical="center"/>
    </xf>
    <xf numFmtId="169" fontId="67" fillId="0" borderId="1" xfId="9" applyNumberFormat="1" applyFont="1" applyFill="1" applyBorder="1" applyAlignment="1">
      <alignment horizontal="center" vertical="center"/>
    </xf>
    <xf numFmtId="0" fontId="60" fillId="0" borderId="7" xfId="0" applyFont="1" applyFill="1" applyBorder="1" applyAlignment="1">
      <alignment horizontal="center" vertical="center"/>
    </xf>
    <xf numFmtId="0" fontId="60" fillId="0" borderId="33" xfId="0" applyFont="1" applyFill="1" applyBorder="1" applyAlignment="1">
      <alignment horizontal="center" vertical="center"/>
    </xf>
    <xf numFmtId="0" fontId="60" fillId="0" borderId="34" xfId="0" applyFont="1" applyFill="1" applyBorder="1" applyAlignment="1">
      <alignment horizontal="center" vertical="center"/>
    </xf>
    <xf numFmtId="0" fontId="60" fillId="0" borderId="32" xfId="0" applyFont="1" applyFill="1" applyBorder="1" applyAlignment="1">
      <alignment horizontal="center" vertical="center"/>
    </xf>
    <xf numFmtId="0" fontId="60" fillId="0" borderId="39" xfId="0" applyFont="1" applyFill="1" applyBorder="1" applyAlignment="1">
      <alignment horizontal="center" vertical="center"/>
    </xf>
    <xf numFmtId="0" fontId="11" fillId="0" borderId="40" xfId="0" applyFont="1" applyFill="1" applyBorder="1" applyAlignment="1">
      <alignment horizontal="center" vertical="center"/>
    </xf>
    <xf numFmtId="167" fontId="40" fillId="0" borderId="40" xfId="10" applyNumberFormat="1" applyFont="1" applyFill="1" applyBorder="1" applyAlignment="1">
      <alignment horizontal="center" vertical="center"/>
    </xf>
    <xf numFmtId="2" fontId="67" fillId="0" borderId="1" xfId="9" applyNumberFormat="1" applyFont="1" applyFill="1" applyBorder="1" applyAlignment="1">
      <alignment horizontal="center" vertical="center"/>
    </xf>
    <xf numFmtId="0" fontId="67" fillId="69" borderId="38" xfId="9" applyFont="1" applyBorder="1" applyAlignment="1">
      <alignment horizontal="center" vertical="center"/>
    </xf>
    <xf numFmtId="0" fontId="67" fillId="0" borderId="39" xfId="9" applyFont="1" applyFill="1" applyBorder="1" applyAlignment="1">
      <alignment horizontal="center" vertical="center"/>
    </xf>
    <xf numFmtId="0" fontId="67" fillId="0" borderId="32" xfId="9" applyFont="1" applyFill="1" applyBorder="1" applyAlignment="1">
      <alignment horizontal="center" vertical="center"/>
    </xf>
    <xf numFmtId="9" fontId="11" fillId="0" borderId="1" xfId="0" applyNumberFormat="1" applyFont="1" applyFill="1" applyBorder="1" applyAlignment="1">
      <alignment horizontal="center" vertical="center"/>
    </xf>
    <xf numFmtId="0" fontId="11" fillId="0" borderId="28" xfId="0" applyFont="1" applyFill="1" applyBorder="1" applyAlignment="1">
      <alignment horizontal="center" vertical="center"/>
    </xf>
    <xf numFmtId="0" fontId="67" fillId="69" borderId="0" xfId="9" applyFont="1" applyBorder="1" applyAlignment="1">
      <alignment horizontal="center" vertical="center"/>
    </xf>
    <xf numFmtId="0" fontId="11" fillId="27" borderId="56" xfId="0" applyFont="1" applyFill="1" applyBorder="1" applyAlignment="1">
      <alignment horizontal="center" vertical="center"/>
    </xf>
    <xf numFmtId="0" fontId="60" fillId="0" borderId="0" xfId="0" applyFont="1" applyFill="1" applyAlignment="1">
      <alignment horizontal="center" vertical="center"/>
    </xf>
    <xf numFmtId="9" fontId="1" fillId="0" borderId="0" xfId="9" applyNumberFormat="1" applyFont="1" applyFill="1" applyBorder="1" applyAlignment="1">
      <alignment horizontal="center" vertical="center"/>
    </xf>
    <xf numFmtId="167" fontId="1" fillId="0" borderId="0" xfId="9" applyNumberFormat="1" applyFont="1" applyFill="1" applyBorder="1" applyAlignment="1">
      <alignment horizontal="center" vertical="center"/>
    </xf>
    <xf numFmtId="0" fontId="1" fillId="0" borderId="0" xfId="9" applyFont="1" applyFill="1" applyBorder="1" applyAlignment="1">
      <alignment horizontal="center" vertical="center"/>
    </xf>
    <xf numFmtId="1" fontId="67" fillId="0" borderId="0" xfId="9" applyNumberFormat="1" applyFont="1" applyFill="1" applyBorder="1" applyAlignment="1">
      <alignment horizontal="center" vertical="center"/>
    </xf>
    <xf numFmtId="0" fontId="40" fillId="0" borderId="0" xfId="0" applyFont="1" applyFill="1" applyAlignment="1">
      <alignment horizontal="center" vertical="center"/>
    </xf>
    <xf numFmtId="0" fontId="40" fillId="0" borderId="0" xfId="0" applyFont="1" applyAlignment="1">
      <alignment horizontal="center" vertical="center"/>
    </xf>
    <xf numFmtId="0" fontId="11" fillId="0" borderId="0" xfId="1" applyFill="1" applyAlignment="1">
      <alignment horizontal="center" vertical="center"/>
    </xf>
    <xf numFmtId="164" fontId="11" fillId="0" borderId="0" xfId="1" applyNumberFormat="1" applyFill="1" applyAlignment="1">
      <alignment horizontal="center" vertical="center"/>
    </xf>
    <xf numFmtId="0" fontId="102" fillId="0" borderId="9" xfId="1" applyFont="1" applyFill="1" applyBorder="1" applyAlignment="1">
      <alignment horizontal="center" vertical="center"/>
    </xf>
    <xf numFmtId="0" fontId="102" fillId="0" borderId="10" xfId="1" applyFont="1" applyFill="1" applyBorder="1" applyAlignment="1">
      <alignment horizontal="center" vertical="center"/>
    </xf>
    <xf numFmtId="0" fontId="102" fillId="0" borderId="11" xfId="1" applyFont="1" applyFill="1" applyBorder="1" applyAlignment="1">
      <alignment horizontal="center" vertical="center"/>
    </xf>
    <xf numFmtId="0" fontId="53" fillId="50" borderId="9" xfId="1" applyFont="1" applyFill="1" applyBorder="1" applyAlignment="1">
      <alignment horizontal="center" vertical="center"/>
    </xf>
    <xf numFmtId="0" fontId="53" fillId="50" borderId="11" xfId="1" applyFont="1" applyFill="1" applyBorder="1" applyAlignment="1">
      <alignment horizontal="center" vertical="center"/>
    </xf>
    <xf numFmtId="0" fontId="60" fillId="0" borderId="0" xfId="1" applyFont="1" applyFill="1" applyBorder="1" applyAlignment="1">
      <alignment horizontal="center" vertical="center"/>
    </xf>
    <xf numFmtId="0" fontId="69" fillId="0" borderId="0" xfId="1" applyFont="1" applyFill="1" applyBorder="1" applyAlignment="1">
      <alignment horizontal="center" vertical="center"/>
    </xf>
    <xf numFmtId="0" fontId="69" fillId="0" borderId="28" xfId="1" applyFont="1" applyFill="1" applyBorder="1" applyAlignment="1">
      <alignment horizontal="center" vertical="center"/>
    </xf>
    <xf numFmtId="0" fontId="69" fillId="0" borderId="30" xfId="1" applyFont="1" applyFill="1" applyBorder="1" applyAlignment="1">
      <alignment horizontal="center" vertical="center"/>
    </xf>
    <xf numFmtId="0" fontId="60" fillId="0" borderId="1" xfId="1" applyFont="1" applyFill="1" applyBorder="1" applyAlignment="1">
      <alignment horizontal="center" vertical="center"/>
    </xf>
    <xf numFmtId="0" fontId="2" fillId="2" borderId="1" xfId="1" applyNumberFormat="1" applyFont="1" applyFill="1" applyBorder="1" applyAlignment="1">
      <alignment horizontal="center" vertical="center"/>
    </xf>
    <xf numFmtId="0" fontId="3" fillId="3" borderId="1" xfId="1" applyNumberFormat="1" applyFont="1" applyFill="1" applyBorder="1" applyAlignment="1">
      <alignment horizontal="center" vertical="center"/>
    </xf>
    <xf numFmtId="0" fontId="55" fillId="0" borderId="3" xfId="1" applyFont="1" applyFill="1" applyBorder="1" applyAlignment="1">
      <alignment horizontal="center" vertical="center"/>
    </xf>
    <xf numFmtId="10" fontId="60" fillId="42" borderId="19" xfId="1" applyNumberFormat="1" applyFont="1" applyFill="1" applyBorder="1" applyAlignment="1">
      <alignment horizontal="center" vertical="center"/>
    </xf>
    <xf numFmtId="164" fontId="60" fillId="42" borderId="19" xfId="1" applyNumberFormat="1" applyFont="1" applyFill="1" applyBorder="1" applyAlignment="1">
      <alignment horizontal="center" vertical="center"/>
    </xf>
    <xf numFmtId="0" fontId="60" fillId="0" borderId="0" xfId="1" applyFont="1" applyFill="1" applyAlignment="1">
      <alignment horizontal="center" vertical="center"/>
    </xf>
    <xf numFmtId="0" fontId="60" fillId="0" borderId="0" xfId="1" applyNumberFormat="1" applyFont="1" applyFill="1" applyBorder="1" applyAlignment="1">
      <alignment horizontal="center" vertical="center"/>
    </xf>
    <xf numFmtId="0" fontId="102" fillId="0" borderId="12" xfId="1" applyFont="1" applyFill="1" applyBorder="1" applyAlignment="1">
      <alignment horizontal="center" vertical="center"/>
    </xf>
    <xf numFmtId="0" fontId="102" fillId="0" borderId="13" xfId="1" applyFont="1" applyFill="1" applyBorder="1" applyAlignment="1">
      <alignment horizontal="center" vertical="center"/>
    </xf>
    <xf numFmtId="0" fontId="102" fillId="0" borderId="14" xfId="1" applyFont="1" applyFill="1" applyBorder="1" applyAlignment="1">
      <alignment horizontal="center" vertical="center"/>
    </xf>
    <xf numFmtId="0" fontId="53" fillId="50" borderId="12" xfId="1" applyFont="1" applyFill="1" applyBorder="1" applyAlignment="1">
      <alignment horizontal="center" vertical="center"/>
    </xf>
    <xf numFmtId="0" fontId="53" fillId="50" borderId="14" xfId="1" applyFont="1" applyFill="1" applyBorder="1" applyAlignment="1">
      <alignment horizontal="center" vertical="center"/>
    </xf>
    <xf numFmtId="0" fontId="69" fillId="0" borderId="40" xfId="1" applyFont="1" applyFill="1" applyBorder="1" applyAlignment="1">
      <alignment horizontal="center" vertical="center"/>
    </xf>
    <xf numFmtId="0" fontId="69" fillId="0" borderId="39" xfId="1" applyFont="1" applyFill="1" applyBorder="1" applyAlignment="1">
      <alignment horizontal="center" vertical="center"/>
    </xf>
    <xf numFmtId="9" fontId="60" fillId="0" borderId="1" xfId="1" applyNumberFormat="1" applyFont="1" applyFill="1" applyBorder="1" applyAlignment="1">
      <alignment horizontal="center" vertical="center"/>
    </xf>
    <xf numFmtId="2" fontId="60" fillId="0" borderId="1" xfId="1" applyNumberFormat="1" applyFont="1" applyFill="1" applyBorder="1" applyAlignment="1">
      <alignment horizontal="center" vertical="bottom"/>
    </xf>
    <xf numFmtId="0" fontId="55" fillId="0" borderId="5" xfId="1" applyFont="1" applyFill="1" applyBorder="1" applyAlignment="1">
      <alignment horizontal="center" vertical="center"/>
    </xf>
    <xf numFmtId="10" fontId="60" fillId="0" borderId="19" xfId="1" applyNumberFormat="1" applyFont="1" applyFill="1" applyBorder="1" applyAlignment="1">
      <alignment horizontal="center" vertical="center"/>
    </xf>
    <xf numFmtId="164" fontId="60" fillId="0" borderId="19" xfId="1" applyNumberFormat="1" applyFont="1" applyFill="1" applyBorder="1" applyAlignment="1">
      <alignment horizontal="center" vertical="center"/>
    </xf>
    <xf numFmtId="2" fontId="60" fillId="0" borderId="0" xfId="1" applyNumberFormat="1" applyFont="1" applyFill="1" applyBorder="1" applyAlignment="1">
      <alignment horizontal="center" vertical="center"/>
    </xf>
    <xf numFmtId="0" fontId="1" fillId="0" borderId="0" xfId="1" applyFont="1" applyFill="1" applyAlignment="1">
      <alignment horizontal="center" vertical="center"/>
    </xf>
    <xf numFmtId="168" fontId="68" fillId="69" borderId="1" xfId="9" applyNumberFormat="1" applyFont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54" fillId="0" borderId="0" xfId="1" applyFont="1" applyFill="1" applyAlignment="1">
      <alignment horizontal="center" vertical="center"/>
    </xf>
    <xf numFmtId="0" fontId="11" fillId="0" borderId="8" xfId="0" applyFont="1" applyBorder="1" applyAlignment="1">
      <alignment horizontal="center" vertical="center"/>
    </xf>
    <xf numFmtId="167" fontId="67" fillId="0" borderId="1" xfId="9" applyNumberFormat="1" applyFont="1" applyFill="1" applyBorder="1" applyAlignment="1">
      <alignment horizontal="center" vertical="center"/>
    </xf>
    <xf numFmtId="171" fontId="11" fillId="0" borderId="1" xfId="0" applyNumberFormat="1" applyFont="1" applyBorder="1" applyAlignment="1">
      <alignment horizontal="center" vertical="center"/>
    </xf>
    <xf numFmtId="0" fontId="72" fillId="69" borderId="8" xfId="9" applyFont="1" applyBorder="1" applyAlignment="1">
      <alignment horizontal="center" vertical="center"/>
    </xf>
    <xf numFmtId="0" fontId="11" fillId="0" borderId="1" xfId="9" applyFont="1" applyFill="1" applyBorder="1" applyAlignment="1">
      <alignment horizontal="center" vertical="center"/>
    </xf>
    <xf numFmtId="167" fontId="11" fillId="0" borderId="1" xfId="9" applyNumberFormat="1" applyFont="1" applyFill="1" applyBorder="1" applyAlignment="1">
      <alignment horizontal="center" vertical="center"/>
    </xf>
    <xf numFmtId="9" fontId="3" fillId="3" borderId="1" xfId="1" applyNumberFormat="1" applyFont="1" applyFill="1" applyBorder="1" applyAlignment="1">
      <alignment horizontal="center" vertical="center"/>
    </xf>
    <xf numFmtId="171" fontId="60" fillId="0" borderId="0" xfId="1" applyNumberFormat="1" applyFont="1" applyFill="1" applyBorder="1" applyAlignment="1">
      <alignment horizontal="center" vertical="center"/>
    </xf>
    <xf numFmtId="0" fontId="103" fillId="69" borderId="8" xfId="9" applyFont="1" applyBorder="1" applyAlignment="1">
      <alignment horizontal="center" vertical="center"/>
    </xf>
    <xf numFmtId="171" fontId="40" fillId="0" borderId="1" xfId="0" applyNumberFormat="1" applyFont="1" applyBorder="1" applyAlignment="1">
      <alignment horizontal="center" vertical="center"/>
    </xf>
    <xf numFmtId="164" fontId="40" fillId="0" borderId="1" xfId="0" applyNumberFormat="1" applyFont="1" applyBorder="1" applyAlignment="1">
      <alignment horizontal="center" vertical="center"/>
    </xf>
    <xf numFmtId="168" fontId="74" fillId="69" borderId="8" xfId="9" applyNumberFormat="1" applyFont="1" applyBorder="1" applyAlignment="1">
      <alignment horizontal="center" vertical="center"/>
    </xf>
    <xf numFmtId="2" fontId="11" fillId="0" borderId="30" xfId="0" applyNumberFormat="1" applyFont="1" applyFill="1" applyBorder="1" applyAlignment="1">
      <alignment horizontal="center" vertical="center"/>
    </xf>
    <xf numFmtId="0" fontId="60" fillId="0" borderId="1" xfId="1" applyFont="1" applyFill="1" applyBorder="1" applyAlignment="1">
      <alignment horizontal="center" vertical="center"/>
    </xf>
    <xf numFmtId="2" fontId="11" fillId="0" borderId="39" xfId="0" applyNumberFormat="1" applyFont="1" applyFill="1" applyBorder="1" applyAlignment="1">
      <alignment horizontal="center" vertical="center"/>
    </xf>
    <xf numFmtId="2" fontId="57" fillId="69" borderId="0" xfId="9" applyNumberFormat="1" applyFont="1" applyAlignment="1">
      <alignment horizontal="center" vertical="center"/>
    </xf>
    <xf numFmtId="0" fontId="67" fillId="0" borderId="7" xfId="9" applyFont="1" applyFill="1" applyBorder="1" applyAlignment="1">
      <alignment horizontal="center" vertical="center"/>
    </xf>
    <xf numFmtId="0" fontId="71" fillId="0" borderId="1" xfId="0" applyFont="1" applyBorder="1" applyAlignment="1">
      <alignment horizontal="center" vertical="center"/>
    </xf>
    <xf numFmtId="171" fontId="71" fillId="0" borderId="1" xfId="0" applyNumberFormat="1" applyFont="1" applyBorder="1" applyAlignment="1">
      <alignment horizontal="center" vertical="center"/>
    </xf>
    <xf numFmtId="170" fontId="70" fillId="0" borderId="1" xfId="9" applyNumberFormat="1" applyFont="1" applyFill="1" applyBorder="1" applyAlignment="1">
      <alignment horizontal="center" vertical="center"/>
    </xf>
    <xf numFmtId="167" fontId="67" fillId="0" borderId="7" xfId="9" applyNumberFormat="1" applyFont="1" applyFill="1" applyBorder="1" applyAlignment="1">
      <alignment horizontal="center" vertical="center"/>
    </xf>
    <xf numFmtId="168" fontId="67" fillId="69" borderId="1" xfId="9" applyNumberFormat="1" applyFont="1" applyBorder="1" applyAlignment="1">
      <alignment horizontal="center" vertical="center"/>
    </xf>
    <xf numFmtId="167" fontId="60" fillId="0" borderId="7" xfId="9" applyNumberFormat="1" applyFont="1" applyFill="1" applyBorder="1" applyAlignment="1">
      <alignment horizontal="center" vertical="center"/>
    </xf>
    <xf numFmtId="0" fontId="13" fillId="0" borderId="1" xfId="1" applyFont="1" applyFill="1" applyBorder="1" applyAlignment="1">
      <alignment horizontal="center" vertical="center"/>
    </xf>
    <xf numFmtId="9" fontId="13" fillId="0" borderId="1" xfId="1" applyNumberFormat="1" applyFont="1" applyFill="1" applyBorder="1" applyAlignment="1">
      <alignment horizontal="center" vertical="center"/>
    </xf>
    <xf numFmtId="9" fontId="11" fillId="0" borderId="1" xfId="1" applyNumberFormat="1" applyFill="1" applyBorder="1" applyAlignment="1">
      <alignment horizontal="center" vertical="center"/>
    </xf>
    <xf numFmtId="164" fontId="60" fillId="0" borderId="1" xfId="10" applyNumberFormat="1" applyFont="1" applyFill="1" applyBorder="1" applyAlignment="1">
      <alignment horizontal="center" vertical="center"/>
    </xf>
    <xf numFmtId="164" fontId="60" fillId="0" borderId="1" xfId="10" applyNumberFormat="1" applyFont="1" applyFill="1" applyBorder="1" applyAlignment="1">
      <alignment horizontal="center" vertical="bottom"/>
    </xf>
    <xf numFmtId="0" fontId="104" fillId="0" borderId="48" xfId="9" applyFont="1" applyFill="1" applyBorder="1" applyAlignment="1">
      <alignment horizontal="center" vertical="center"/>
    </xf>
    <xf numFmtId="0" fontId="67" fillId="69" borderId="48" xfId="9" applyFont="1" applyBorder="1" applyAlignment="1">
      <alignment horizontal="center" vertical="center"/>
    </xf>
    <xf numFmtId="0" fontId="105" fillId="0" borderId="48" xfId="0" applyFont="1" applyFill="1" applyBorder="1" applyAlignment="1">
      <alignment horizontal="center" vertical="center"/>
    </xf>
    <xf numFmtId="170" fontId="11" fillId="27" borderId="48" xfId="0" applyNumberFormat="1" applyFont="1" applyFill="1" applyBorder="1" applyAlignment="1">
      <alignment horizontal="center" vertical="center"/>
    </xf>
    <xf numFmtId="164" fontId="60" fillId="0" borderId="1" xfId="0" applyNumberFormat="1" applyFont="1" applyFill="1" applyBorder="1" applyAlignment="1">
      <alignment horizontal="center" vertical="center"/>
    </xf>
    <xf numFmtId="167" fontId="40" fillId="69" borderId="48" xfId="9" applyNumberFormat="1" applyFont="1" applyBorder="1" applyAlignment="1">
      <alignment horizontal="center" vertical="center"/>
    </xf>
    <xf numFmtId="168" fontId="40" fillId="27" borderId="48" xfId="0" applyNumberFormat="1" applyFont="1" applyFill="1" applyBorder="1" applyAlignment="1">
      <alignment horizontal="center" vertical="center"/>
    </xf>
    <xf numFmtId="0" fontId="105" fillId="0" borderId="0" xfId="0" applyFont="1" applyFill="1" applyAlignment="1">
      <alignment horizontal="center" vertical="center"/>
    </xf>
    <xf numFmtId="0" fontId="87" fillId="83" borderId="1" xfId="1" applyFont="1" applyFill="1" applyBorder="1" applyAlignment="1">
      <alignment horizontal="center" vertical="center"/>
    </xf>
    <xf numFmtId="164" fontId="40" fillId="0" borderId="1" xfId="10" applyNumberFormat="1" applyFont="1" applyFill="1" applyBorder="1" applyAlignment="1">
      <alignment horizontal="center" vertical="center"/>
    </xf>
    <xf numFmtId="0" fontId="40" fillId="0" borderId="1" xfId="10" applyFont="1" applyFill="1" applyBorder="1" applyAlignment="1">
      <alignment horizontal="center" vertical="center"/>
    </xf>
    <xf numFmtId="170" fontId="67" fillId="69" borderId="48" xfId="9" applyNumberFormat="1" applyFont="1" applyBorder="1" applyAlignment="1">
      <alignment horizontal="center" vertical="center"/>
    </xf>
    <xf numFmtId="0" fontId="60" fillId="0" borderId="1" xfId="0" applyFont="1" applyFill="1" applyBorder="1" applyAlignment="1">
      <alignment horizontal="center" vertical="center"/>
    </xf>
    <xf numFmtId="0" fontId="40" fillId="0" borderId="0" xfId="9" applyFont="1" applyFill="1" applyBorder="1" applyAlignment="1">
      <alignment horizontal="center" vertical="center"/>
    </xf>
    <xf numFmtId="164" fontId="60" fillId="0" borderId="0" xfId="0" applyNumberFormat="1" applyFont="1" applyFill="1" applyAlignment="1">
      <alignment horizontal="center" vertical="center"/>
    </xf>
    <xf numFmtId="0" fontId="60" fillId="0" borderId="0" xfId="9" applyFont="1" applyFill="1" applyBorder="1" applyAlignment="1">
      <alignment horizontal="center" vertical="center"/>
    </xf>
    <xf numFmtId="167" fontId="60" fillId="0" borderId="0" xfId="9" applyNumberFormat="1" applyFont="1" applyFill="1" applyBorder="1" applyAlignment="1">
      <alignment horizontal="center" vertical="center"/>
    </xf>
    <xf numFmtId="170" fontId="40" fillId="69" borderId="48" xfId="9" applyNumberFormat="1" applyFont="1" applyBorder="1" applyAlignment="1">
      <alignment horizontal="center" vertical="center"/>
    </xf>
    <xf numFmtId="171" fontId="40" fillId="0" borderId="0" xfId="9" applyNumberFormat="1" applyFont="1" applyFill="1" applyBorder="1" applyAlignment="1">
      <alignment horizontal="center" vertical="center"/>
    </xf>
    <xf numFmtId="9" fontId="11" fillId="0" borderId="7" xfId="1" applyNumberFormat="1" applyFill="1" applyBorder="1" applyAlignment="1">
      <alignment horizontal="center" vertical="center"/>
    </xf>
    <xf numFmtId="0" fontId="40" fillId="0" borderId="1" xfId="1" applyFont="1" applyFill="1" applyBorder="1" applyAlignment="1">
      <alignment horizontal="center" vertical="center"/>
    </xf>
    <xf numFmtId="170" fontId="40" fillId="0" borderId="1" xfId="9" applyNumberFormat="1" applyFont="1" applyFill="1" applyBorder="1" applyAlignment="1">
      <alignment horizontal="center" vertical="center"/>
    </xf>
    <xf numFmtId="0" fontId="67" fillId="74" borderId="0" xfId="9" applyFont="1" applyFill="1" applyAlignment="1">
      <alignment horizontal="center" vertical="center"/>
    </xf>
    <xf numFmtId="0" fontId="1" fillId="0" borderId="1" xfId="1" applyNumberFormat="1" applyFont="1" applyFill="1" applyBorder="1" applyAlignment="1">
      <alignment horizontal="center" vertical="center"/>
    </xf>
    <xf numFmtId="0" fontId="11" fillId="0" borderId="0" xfId="1" applyNumberFormat="1" applyFill="1" applyAlignment="1">
      <alignment horizontal="center" vertical="center"/>
    </xf>
    <xf numFmtId="0" fontId="39" fillId="42" borderId="1" xfId="1" applyNumberFormat="1" applyFont="1" applyFill="1" applyBorder="1" applyAlignment="1">
      <alignment horizontal="center" vertical="center"/>
    </xf>
    <xf numFmtId="0" fontId="1" fillId="0" borderId="28" xfId="1" applyNumberFormat="1" applyFont="1" applyFill="1" applyBorder="1" applyAlignment="1">
      <alignment horizontal="center" vertical="center"/>
    </xf>
    <xf numFmtId="0" fontId="60" fillId="0" borderId="1" xfId="1" applyFont="1" applyFill="1" applyBorder="1" applyAlignment="1">
      <alignment horizontal="center" vertical="center"/>
    </xf>
    <xf numFmtId="0" fontId="60" fillId="0" borderId="1" xfId="1" applyNumberFormat="1" applyFont="1" applyFill="1" applyBorder="1" applyAlignment="1">
      <alignment horizontal="center" vertical="center"/>
    </xf>
    <xf numFmtId="167" fontId="60" fillId="0" borderId="1" xfId="1" applyNumberFormat="1" applyFont="1" applyFill="1" applyBorder="1" applyAlignment="1">
      <alignment horizontal="center" vertical="center"/>
    </xf>
    <xf numFmtId="0" fontId="11" fillId="0" borderId="1" xfId="1" applyNumberFormat="1" applyFill="1" applyBorder="1" applyAlignment="1">
      <alignment horizontal="center" vertical="center"/>
    </xf>
    <xf numFmtId="0" fontId="11" fillId="0" borderId="31" xfId="1" applyNumberFormat="1" applyFill="1" applyBorder="1" applyAlignment="1">
      <alignment horizontal="center" vertical="center"/>
    </xf>
    <xf numFmtId="0" fontId="106" fillId="0" borderId="1" xfId="1" applyNumberFormat="1" applyFont="1" applyFill="1" applyBorder="1" applyAlignment="1">
      <alignment horizontal="center" vertical="center"/>
    </xf>
    <xf numFmtId="171" fontId="106" fillId="0" borderId="1" xfId="0" applyNumberFormat="1" applyFont="1" applyFill="1" applyBorder="1" applyAlignment="1">
      <alignment horizontal="center" vertical="center"/>
    </xf>
    <xf numFmtId="0" fontId="1" fillId="0" borderId="1" xfId="1" applyFont="1" applyFill="1" applyBorder="1" applyAlignment="1">
      <alignment horizontal="center" vertical="center"/>
    </xf>
    <xf numFmtId="0" fontId="11" fillId="0" borderId="1" xfId="1" applyFill="1" applyBorder="1" applyAlignment="1">
      <alignment horizontal="center" vertical="center"/>
    </xf>
    <xf numFmtId="167" fontId="11" fillId="0" borderId="1" xfId="1" applyNumberFormat="1" applyFill="1" applyBorder="1" applyAlignment="1">
      <alignment horizontal="center" vertical="center"/>
    </xf>
    <xf numFmtId="0" fontId="1" fillId="0" borderId="1" xfId="1" applyNumberFormat="1" applyFont="1" applyFill="1" applyBorder="1" applyAlignment="1">
      <alignment horizontal="center" vertical="center"/>
    </xf>
    <xf numFmtId="2" fontId="60" fillId="51" borderId="1" xfId="1" applyNumberFormat="1" applyFont="1" applyFill="1" applyBorder="1" applyAlignment="1">
      <alignment horizontal="center" vertical="center"/>
    </xf>
    <xf numFmtId="167" fontId="60" fillId="51" borderId="1" xfId="1" applyNumberFormat="1" applyFont="1" applyFill="1" applyBorder="1" applyAlignment="1">
      <alignment horizontal="center" vertical="center"/>
    </xf>
    <xf numFmtId="0" fontId="60" fillId="0" borderId="0" xfId="1" applyNumberFormat="1" applyFont="1" applyFill="1" applyAlignment="1">
      <alignment horizontal="center" vertical="center"/>
    </xf>
    <xf numFmtId="0" fontId="107" fillId="0" borderId="1" xfId="1" applyNumberFormat="1" applyFont="1" applyFill="1" applyBorder="1" applyAlignment="1">
      <alignment horizontal="center" vertical="center"/>
    </xf>
    <xf numFmtId="171" fontId="106" fillId="0" borderId="1" xfId="1" applyNumberFormat="1" applyFont="1" applyFill="1" applyBorder="1" applyAlignment="1">
      <alignment horizontal="center" vertical="center"/>
    </xf>
    <xf numFmtId="0" fontId="106" fillId="31" borderId="1" xfId="1" applyNumberFormat="1" applyFont="1" applyFill="1" applyBorder="1" applyAlignment="1">
      <alignment horizontal="center" vertical="center"/>
    </xf>
    <xf numFmtId="0" fontId="107" fillId="51" borderId="28" xfId="1" applyNumberFormat="1" applyFont="1" applyFill="1" applyBorder="1" applyAlignment="1">
      <alignment horizontal="center" vertical="center"/>
    </xf>
    <xf numFmtId="0" fontId="106" fillId="31" borderId="28" xfId="1" applyNumberFormat="1" applyFont="1" applyFill="1" applyBorder="1" applyAlignment="1">
      <alignment horizontal="center" vertical="center"/>
    </xf>
    <xf numFmtId="171" fontId="106" fillId="31" borderId="1" xfId="0" applyNumberFormat="1" applyFont="1" applyFill="1" applyBorder="1" applyAlignment="1">
      <alignment horizontal="center" vertical="center"/>
    </xf>
    <xf numFmtId="0" fontId="107" fillId="51" borderId="40" xfId="1" applyNumberFormat="1" applyFont="1" applyFill="1" applyBorder="1" applyAlignment="1">
      <alignment horizontal="center" vertical="center"/>
    </xf>
    <xf numFmtId="0" fontId="106" fillId="31" borderId="40" xfId="1" applyNumberFormat="1" applyFont="1" applyFill="1" applyBorder="1" applyAlignment="1">
      <alignment horizontal="center" vertical="center"/>
    </xf>
    <xf numFmtId="170" fontId="11" fillId="27" borderId="1" xfId="0" applyNumberFormat="1" applyFont="1" applyFill="1" applyBorder="1" applyAlignment="1">
      <alignment horizontal="center" vertical="center"/>
    </xf>
    <xf numFmtId="171" fontId="106" fillId="31" borderId="1" xfId="1" applyNumberFormat="1" applyFont="1" applyFill="1" applyBorder="1" applyAlignment="1">
      <alignment horizontal="center" vertical="center"/>
    </xf>
    <xf numFmtId="0" fontId="106" fillId="0" borderId="28" xfId="1" applyNumberFormat="1" applyFont="1" applyFill="1" applyBorder="1" applyAlignment="1">
      <alignment horizontal="center" vertical="center"/>
    </xf>
    <xf numFmtId="0" fontId="106" fillId="0" borderId="40" xfId="1" applyNumberFormat="1" applyFont="1" applyFill="1" applyBorder="1" applyAlignment="1">
      <alignment horizontal="center" vertical="center"/>
    </xf>
    <xf numFmtId="0" fontId="106" fillId="84" borderId="1" xfId="1" applyNumberFormat="1" applyFont="1" applyFill="1" applyBorder="1" applyAlignment="1">
      <alignment horizontal="center" vertical="center"/>
    </xf>
    <xf numFmtId="0" fontId="107" fillId="85" borderId="1" xfId="1" applyNumberFormat="1" applyFont="1" applyFill="1" applyBorder="1" applyAlignment="1">
      <alignment horizontal="center" vertical="center"/>
    </xf>
    <xf numFmtId="171" fontId="106" fillId="84" borderId="1" xfId="0" applyNumberFormat="1" applyFont="1" applyFill="1" applyBorder="1" applyAlignment="1">
      <alignment horizontal="center" vertical="center"/>
    </xf>
    <xf numFmtId="164" fontId="70" fillId="42" borderId="19" xfId="1" applyNumberFormat="1" applyFont="1" applyFill="1" applyBorder="1" applyAlignment="1">
      <alignment horizontal="center" vertical="center"/>
    </xf>
    <xf numFmtId="10" fontId="60" fillId="42" borderId="5" xfId="1" applyNumberFormat="1" applyFont="1" applyFill="1" applyBorder="1" applyAlignment="1">
      <alignment horizontal="center" vertical="center"/>
    </xf>
    <xf numFmtId="164" fontId="60" fillId="42" borderId="5" xfId="1" applyNumberFormat="1" applyFont="1" applyFill="1" applyBorder="1" applyAlignment="1">
      <alignment horizontal="center" vertical="center"/>
    </xf>
    <xf numFmtId="164" fontId="60" fillId="0" borderId="0" xfId="1" applyNumberFormat="1" applyFont="1" applyFill="1" applyBorder="1" applyAlignment="1">
      <alignment horizontal="center" vertical="center"/>
    </xf>
    <xf numFmtId="0" fontId="11" fillId="0" borderId="0" xfId="1" applyFill="1" applyBorder="1" applyAlignment="1">
      <alignment horizontal="center" vertical="center"/>
    </xf>
    <xf numFmtId="164" fontId="11" fillId="0" borderId="0" xfId="1" applyNumberFormat="1" applyFill="1" applyBorder="1" applyAlignment="1">
      <alignment horizontal="center" vertical="center"/>
    </xf>
    <xf numFmtId="0" fontId="55" fillId="0" borderId="0" xfId="0" applyFont="1" applyAlignment="1">
      <alignment horizontal="center" vertical="center"/>
    </xf>
    <xf numFmtId="0" fontId="55" fillId="0" borderId="2" xfId="0" applyFont="1" applyBorder="1" applyAlignment="1">
      <alignment horizontal="center" vertical="center"/>
    </xf>
    <xf numFmtId="0" fontId="36" fillId="31" borderId="2" xfId="0" applyFont="1" applyFill="1" applyBorder="1" applyAlignment="1">
      <alignment horizontal="center" vertical="center"/>
    </xf>
    <xf numFmtId="0" fontId="108" fillId="18" borderId="1" xfId="1" applyFont="1" applyFill="1" applyBorder="1" applyAlignment="1">
      <alignment horizontal="center" vertical="center"/>
    </xf>
    <xf numFmtId="0" fontId="109" fillId="0" borderId="1" xfId="1" applyNumberFormat="1" applyFont="1" applyFill="1" applyBorder="1" applyAlignment="1">
      <alignment horizontal="center" vertical="center"/>
    </xf>
    <xf numFmtId="0" fontId="110" fillId="0" borderId="2" xfId="1" applyFont="1" applyFill="1" applyBorder="1" applyAlignment="1">
      <alignment horizontal="center" vertical="center"/>
    </xf>
    <xf numFmtId="0" fontId="110" fillId="0" borderId="17" xfId="1" applyFont="1" applyFill="1" applyBorder="1" applyAlignment="1">
      <alignment horizontal="center" vertical="center"/>
    </xf>
    <xf numFmtId="0" fontId="108" fillId="24" borderId="1" xfId="1" applyFont="1" applyFill="1" applyBorder="1" applyAlignment="1">
      <alignment horizontal="center" vertical="center"/>
    </xf>
    <xf numFmtId="10" fontId="54" fillId="35" borderId="48" xfId="0" applyNumberFormat="1" applyFont="1" applyFill="1" applyBorder="1" applyAlignment="1">
      <alignment horizontal="center" vertical="center"/>
    </xf>
    <xf numFmtId="164" fontId="55" fillId="86" borderId="48" xfId="0" applyNumberFormat="1" applyFont="1" applyFill="1" applyBorder="1" applyAlignment="1">
      <alignment horizontal="center" vertical="center"/>
    </xf>
    <xf numFmtId="0" fontId="110" fillId="42" borderId="2" xfId="0" applyFont="1" applyFill="1" applyBorder="1" applyAlignment="1">
      <alignment horizontal="center" vertical="center"/>
    </xf>
    <xf numFmtId="0" fontId="110" fillId="50" borderId="2" xfId="1" applyFont="1" applyFill="1" applyBorder="1" applyAlignment="1">
      <alignment horizontal="center" vertical="center"/>
    </xf>
    <xf numFmtId="0" fontId="110" fillId="50" borderId="17" xfId="1" applyFont="1" applyFill="1" applyBorder="1" applyAlignment="1">
      <alignment horizontal="center" vertical="center"/>
    </xf>
    <xf numFmtId="0" fontId="110" fillId="0" borderId="14" xfId="1" applyFont="1" applyFill="1" applyBorder="1" applyAlignment="1">
      <alignment horizontal="center" vertical="center"/>
    </xf>
    <xf numFmtId="167" fontId="109" fillId="0" borderId="1" xfId="1" applyNumberFormat="1" applyFont="1" applyFill="1" applyBorder="1" applyAlignment="1">
      <alignment horizontal="center" vertical="center"/>
    </xf>
    <xf numFmtId="0" fontId="55" fillId="28" borderId="2" xfId="0" applyFont="1" applyFill="1" applyBorder="1" applyAlignment="1">
      <alignment horizontal="center" vertical="center"/>
    </xf>
    <xf numFmtId="10" fontId="55" fillId="86" borderId="48" xfId="0" applyNumberFormat="1" applyFont="1" applyFill="1" applyBorder="1" applyAlignment="1">
      <alignment horizontal="center" vertical="center"/>
    </xf>
    <xf numFmtId="0" fontId="55" fillId="0" borderId="0" xfId="0" applyNumberFormat="1" applyFont="1" applyAlignment="1">
      <alignment horizontal="center" vertical="center"/>
    </xf>
    <xf numFmtId="9" fontId="55" fillId="28" borderId="2" xfId="6" applyFont="1" applyFill="1" applyBorder="1" applyAlignment="1">
      <alignment horizontal="center" vertical="center"/>
    </xf>
    <xf numFmtId="0" fontId="111" fillId="11" borderId="2" xfId="1" applyFont="1" applyFill="1" applyBorder="1" applyAlignment="1">
      <alignment horizontal="center" vertical="center"/>
      <protection locked="1" hidden="1"/>
    </xf>
    <xf numFmtId="0" fontId="112" fillId="5" borderId="2" xfId="1" applyNumberFormat="1" applyFont="1" applyFill="1" applyBorder="1" applyAlignment="1">
      <alignment horizontal="center" vertical="center"/>
      <protection locked="1" hidden="1"/>
    </xf>
    <xf numFmtId="0" fontId="111" fillId="12" borderId="2" xfId="1" applyNumberFormat="1" applyFont="1" applyFill="1" applyBorder="1" applyAlignment="1">
      <alignment horizontal="center" vertical="center"/>
      <protection locked="1" hidden="1"/>
    </xf>
    <xf numFmtId="2" fontId="113" fillId="13" borderId="2" xfId="1" applyNumberFormat="1" applyFont="1" applyFill="1" applyBorder="1" applyAlignment="1">
      <alignment horizontal="center" vertical="center"/>
      <protection locked="1" hidden="1"/>
    </xf>
    <xf numFmtId="2" fontId="114" fillId="14" borderId="2" xfId="1" applyNumberFormat="1" applyFont="1" applyFill="1" applyBorder="1" applyAlignment="1">
      <alignment horizontal="center" vertical="center"/>
      <protection locked="1" hidden="1"/>
    </xf>
    <xf numFmtId="2" fontId="109" fillId="0" borderId="1" xfId="1" applyNumberFormat="1" applyFont="1" applyFill="1" applyBorder="1" applyAlignment="1">
      <alignment horizontal="center" vertical="center"/>
    </xf>
    <xf numFmtId="2" fontId="115" fillId="9" borderId="2" xfId="1" applyNumberFormat="1" applyFont="1" applyFill="1" applyBorder="1" applyAlignment="1">
      <alignment horizontal="center" vertical="center"/>
      <protection locked="1" hidden="1"/>
    </xf>
    <xf numFmtId="2" fontId="116" fillId="10" borderId="2" xfId="1" applyNumberFormat="1" applyFont="1" applyFill="1" applyBorder="1" applyAlignment="1">
      <alignment horizontal="center" vertical="center"/>
      <protection locked="1" hidden="1"/>
    </xf>
    <xf numFmtId="0" fontId="111" fillId="18" borderId="2" xfId="1" applyFont="1" applyFill="1" applyBorder="1" applyAlignment="1">
      <alignment horizontal="center" vertical="center"/>
      <protection locked="1" hidden="1"/>
    </xf>
    <xf numFmtId="164" fontId="117" fillId="21" borderId="2" xfId="1" applyNumberFormat="1" applyFont="1" applyFill="1" applyBorder="1" applyAlignment="1">
      <alignment horizontal="center" vertical="center"/>
      <protection locked="1" hidden="1"/>
    </xf>
    <xf numFmtId="164" fontId="114" fillId="22" borderId="2" xfId="1" applyNumberFormat="1" applyFont="1" applyFill="1" applyBorder="1" applyAlignment="1">
      <alignment horizontal="center" vertical="center"/>
      <protection locked="1" hidden="1"/>
    </xf>
    <xf numFmtId="164" fontId="109" fillId="0" borderId="1" xfId="1" applyNumberFormat="1" applyFont="1" applyFill="1" applyBorder="1" applyAlignment="1">
      <alignment horizontal="center" vertical="center"/>
    </xf>
    <xf numFmtId="0" fontId="36" fillId="82" borderId="2" xfId="0" applyFont="1" applyFill="1" applyBorder="1" applyAlignment="1">
      <alignment horizontal="center" vertical="center"/>
    </xf>
    <xf numFmtId="0" fontId="55" fillId="0" borderId="2" xfId="0" applyFont="1" applyBorder="1" applyAlignment="1">
      <alignment horizontal="center" vertical="center"/>
    </xf>
    <xf numFmtId="0" fontId="110" fillId="6" borderId="2" xfId="0" applyFont="1" applyFill="1" applyBorder="1" applyAlignment="1">
      <alignment horizontal="center" vertical="center"/>
    </xf>
    <xf numFmtId="0" fontId="110" fillId="34" borderId="2" xfId="0" applyFont="1" applyFill="1" applyBorder="1" applyAlignment="1">
      <alignment horizontal="center" vertical="center"/>
    </xf>
    <xf numFmtId="0" fontId="55" fillId="47" borderId="12" xfId="0" applyFont="1" applyFill="1" applyBorder="1" applyAlignment="1">
      <alignment horizontal="center" vertical="center"/>
    </xf>
    <xf numFmtId="164" fontId="55" fillId="47" borderId="14" xfId="0" applyNumberFormat="1" applyFont="1" applyFill="1" applyBorder="1" applyAlignment="1">
      <alignment horizontal="center" vertical="center"/>
    </xf>
    <xf numFmtId="0" fontId="55" fillId="26" borderId="12" xfId="0" applyFont="1" applyFill="1" applyBorder="1" applyAlignment="1">
      <alignment horizontal="center" vertical="center"/>
    </xf>
    <xf numFmtId="164" fontId="55" fillId="26" borderId="14" xfId="0" applyNumberFormat="1" applyFont="1" applyFill="1" applyBorder="1" applyAlignment="1">
      <alignment horizontal="center" vertical="center"/>
    </xf>
    <xf numFmtId="164" fontId="55" fillId="0" borderId="0" xfId="0" applyNumberFormat="1" applyFont="1" applyAlignment="1">
      <alignment horizontal="center" vertical="center"/>
    </xf>
    <xf numFmtId="2" fontId="110" fillId="50" borderId="2" xfId="1" applyNumberFormat="1" applyFont="1" applyFill="1" applyBorder="1" applyAlignment="1">
      <alignment horizontal="center" vertical="center"/>
    </xf>
    <xf numFmtId="0" fontId="67" fillId="69" borderId="1" xfId="9" applyFont="1" applyBorder="1" applyAlignment="1">
      <alignment horizontal="center" vertical="center"/>
    </xf>
    <xf numFmtId="0" fontId="67" fillId="69" borderId="0" xfId="9" applyFont="1" applyBorder="1" applyAlignment="1">
      <alignment horizontal="center" vertical="center"/>
    </xf>
    <xf numFmtId="0" fontId="117" fillId="41" borderId="2" xfId="1" applyNumberFormat="1" applyFont="1" applyFill="1" applyBorder="1" applyAlignment="1">
      <alignment horizontal="center" vertical="center"/>
      <protection locked="1" hidden="1"/>
    </xf>
    <xf numFmtId="0" fontId="106" fillId="0" borderId="0" xfId="0" applyFont="1">
      <alignment vertical="center"/>
    </xf>
    <xf numFmtId="0" fontId="118" fillId="4" borderId="48" xfId="0" applyFont="1" applyFill="1" applyBorder="1" applyAlignment="1">
      <alignment horizontal="center" vertical="center"/>
    </xf>
    <xf numFmtId="0" fontId="118" fillId="28" borderId="48" xfId="0" applyFont="1" applyFill="1" applyBorder="1" applyAlignment="1">
      <alignment horizontal="center" vertical="center"/>
    </xf>
    <xf numFmtId="0" fontId="106" fillId="86" borderId="48" xfId="0" applyFont="1" applyFill="1" applyBorder="1" applyAlignment="1">
      <alignment horizontal="center" vertical="center"/>
    </xf>
    <xf numFmtId="0" fontId="119" fillId="87" borderId="48" xfId="0" applyFont="1" applyFill="1" applyBorder="1" applyAlignment="1">
      <alignment horizontal="center" vertical="center"/>
    </xf>
    <xf numFmtId="0" fontId="119" fillId="51" borderId="48" xfId="0" applyFont="1" applyFill="1" applyBorder="1" applyAlignment="1">
      <alignment horizontal="center" vertical="center"/>
    </xf>
    <xf numFmtId="0" fontId="119" fillId="83" borderId="48" xfId="0" applyFont="1" applyFill="1" applyBorder="1" applyAlignment="1">
      <alignment horizontal="center" vertical="center"/>
    </xf>
    <xf numFmtId="0" fontId="119" fillId="34" borderId="48" xfId="0" applyFont="1" applyFill="1" applyBorder="1" applyAlignment="1">
      <alignment horizontal="center" vertical="center"/>
    </xf>
    <xf numFmtId="0" fontId="119" fillId="88" borderId="48" xfId="0" applyFont="1" applyFill="1" applyBorder="1" applyAlignment="1">
      <alignment horizontal="center" vertical="center"/>
    </xf>
    <xf numFmtId="0" fontId="119" fillId="47" borderId="48" xfId="0" applyFont="1" applyFill="1" applyBorder="1" applyAlignment="1">
      <alignment horizontal="center" vertical="center"/>
    </xf>
    <xf numFmtId="0" fontId="119" fillId="89" borderId="48" xfId="0" applyFont="1" applyFill="1" applyBorder="1" applyAlignment="1">
      <alignment horizontal="center" vertical="center"/>
    </xf>
    <xf numFmtId="0" fontId="119" fillId="49" borderId="48" xfId="0" applyFont="1" applyFill="1" applyBorder="1" applyAlignment="1">
      <alignment horizontal="center" vertical="center"/>
    </xf>
    <xf numFmtId="0" fontId="119" fillId="90" borderId="48" xfId="0" applyFont="1" applyFill="1" applyBorder="1" applyAlignment="1">
      <alignment horizontal="center" vertical="center"/>
    </xf>
    <xf numFmtId="0" fontId="119" fillId="35" borderId="48" xfId="0" applyFont="1" applyFill="1" applyBorder="1" applyAlignment="1">
      <alignment horizontal="center" vertical="center"/>
    </xf>
    <xf numFmtId="0" fontId="119" fillId="67" borderId="48" xfId="0" applyFont="1" applyFill="1" applyBorder="1" applyAlignment="1">
      <alignment horizontal="center" vertical="center"/>
    </xf>
    <xf numFmtId="0" fontId="106" fillId="86" borderId="48" xfId="0" applyFont="1" applyFill="1" applyBorder="1">
      <alignment vertical="center"/>
    </xf>
    <xf numFmtId="0" fontId="106" fillId="87" borderId="48" xfId="0" applyFont="1" applyFill="1" applyBorder="1" applyAlignment="1">
      <alignment horizontal="center" vertical="center"/>
    </xf>
    <xf numFmtId="0" fontId="106" fillId="51" borderId="48" xfId="0" applyFont="1" applyFill="1" applyBorder="1" applyAlignment="1">
      <alignment horizontal="center" vertical="center"/>
    </xf>
    <xf numFmtId="0" fontId="106" fillId="83" borderId="48" xfId="0" applyFont="1" applyFill="1" applyBorder="1" applyAlignment="1">
      <alignment horizontal="center" vertical="center"/>
    </xf>
    <xf numFmtId="0" fontId="106" fillId="34" borderId="48" xfId="0" applyFont="1" applyFill="1" applyBorder="1" applyAlignment="1">
      <alignment horizontal="center" vertical="center"/>
    </xf>
    <xf numFmtId="0" fontId="106" fillId="88" borderId="48" xfId="0" applyFont="1" applyFill="1" applyBorder="1" applyAlignment="1">
      <alignment horizontal="center" vertical="center"/>
    </xf>
    <xf numFmtId="0" fontId="106" fillId="47" borderId="48" xfId="0" applyFont="1" applyFill="1" applyBorder="1" applyAlignment="1">
      <alignment horizontal="center" vertical="center"/>
    </xf>
    <xf numFmtId="0" fontId="106" fillId="89" borderId="48" xfId="0" applyFont="1" applyFill="1" applyBorder="1" applyAlignment="1">
      <alignment horizontal="center" vertical="center"/>
    </xf>
    <xf numFmtId="0" fontId="106" fillId="49" borderId="48" xfId="0" applyFont="1" applyFill="1" applyBorder="1" applyAlignment="1">
      <alignment horizontal="center" vertical="center"/>
    </xf>
    <xf numFmtId="0" fontId="106" fillId="90" borderId="48" xfId="0" applyFont="1" applyFill="1" applyBorder="1" applyAlignment="1">
      <alignment horizontal="center" vertical="center"/>
    </xf>
    <xf numFmtId="0" fontId="106" fillId="35" borderId="48" xfId="0" applyFont="1" applyFill="1" applyBorder="1" applyAlignment="1">
      <alignment horizontal="center" vertical="center"/>
    </xf>
    <xf numFmtId="0" fontId="106" fillId="67" borderId="48" xfId="0" applyFont="1" applyFill="1" applyBorder="1" applyAlignment="1">
      <alignment horizontal="center" vertical="center"/>
    </xf>
    <xf numFmtId="10" fontId="106" fillId="86" borderId="48" xfId="0" applyNumberFormat="1" applyFont="1" applyFill="1" applyBorder="1" applyAlignment="1">
      <alignment horizontal="center" vertical="center"/>
    </xf>
    <xf numFmtId="164" fontId="106" fillId="87" borderId="48" xfId="0" applyNumberFormat="1" applyFont="1" applyFill="1" applyBorder="1" applyAlignment="1">
      <alignment horizontal="center" vertical="center"/>
    </xf>
    <xf numFmtId="164" fontId="106" fillId="51" borderId="48" xfId="0" applyNumberFormat="1" applyFont="1" applyFill="1" applyBorder="1" applyAlignment="1">
      <alignment horizontal="center" vertical="center"/>
    </xf>
    <xf numFmtId="164" fontId="106" fillId="83" borderId="48" xfId="0" applyNumberFormat="1" applyFont="1" applyFill="1" applyBorder="1" applyAlignment="1">
      <alignment horizontal="center" vertical="center"/>
    </xf>
    <xf numFmtId="164" fontId="106" fillId="34" borderId="48" xfId="0" applyNumberFormat="1" applyFont="1" applyFill="1" applyBorder="1" applyAlignment="1">
      <alignment horizontal="center" vertical="center"/>
    </xf>
    <xf numFmtId="164" fontId="106" fillId="88" borderId="48" xfId="0" applyNumberFormat="1" applyFont="1" applyFill="1" applyBorder="1" applyAlignment="1">
      <alignment horizontal="center" vertical="center"/>
    </xf>
    <xf numFmtId="164" fontId="106" fillId="47" borderId="48" xfId="0" applyNumberFormat="1" applyFont="1" applyFill="1" applyBorder="1" applyAlignment="1">
      <alignment horizontal="center" vertical="center"/>
    </xf>
    <xf numFmtId="164" fontId="106" fillId="89" borderId="48" xfId="0" applyNumberFormat="1" applyFont="1" applyFill="1" applyBorder="1" applyAlignment="1">
      <alignment horizontal="center" vertical="center"/>
    </xf>
    <xf numFmtId="164" fontId="106" fillId="49" borderId="48" xfId="0" applyNumberFormat="1" applyFont="1" applyFill="1" applyBorder="1" applyAlignment="1">
      <alignment horizontal="center" vertical="center"/>
    </xf>
    <xf numFmtId="164" fontId="106" fillId="90" borderId="48" xfId="0" applyNumberFormat="1" applyFont="1" applyFill="1" applyBorder="1" applyAlignment="1">
      <alignment horizontal="center" vertical="center"/>
    </xf>
    <xf numFmtId="164" fontId="106" fillId="35" borderId="48" xfId="0" applyNumberFormat="1" applyFont="1" applyFill="1" applyBorder="1" applyAlignment="1">
      <alignment horizontal="center" vertical="center"/>
    </xf>
    <xf numFmtId="164" fontId="106" fillId="67" borderId="48" xfId="0" applyNumberFormat="1" applyFont="1" applyFill="1" applyBorder="1" applyAlignment="1">
      <alignment horizontal="center" vertical="center"/>
    </xf>
    <xf numFmtId="0" fontId="120" fillId="0" borderId="0" xfId="0" applyFont="1" applyFill="1" applyBorder="1">
      <alignment vertical="center"/>
    </xf>
    <xf numFmtId="164" fontId="107" fillId="83" borderId="48" xfId="0" applyNumberFormat="1" applyFont="1" applyFill="1" applyBorder="1" applyAlignment="1">
      <alignment horizontal="center" vertical="center"/>
    </xf>
    <xf numFmtId="164" fontId="107" fillId="87" borderId="48" xfId="0" applyNumberFormat="1" applyFont="1" applyFill="1" applyBorder="1" applyAlignment="1">
      <alignment horizontal="center" vertical="center"/>
    </xf>
    <xf numFmtId="0" fontId="106" fillId="0" borderId="0" xfId="0" applyFont="1" applyBorder="1">
      <alignment vertical="center"/>
    </xf>
    <xf numFmtId="10" fontId="11" fillId="0" borderId="0" xfId="13" applyNumberFormat="1" applyFont="1" applyBorder="1" applyAlignment="1">
      <alignment horizontal="center" vertical="center"/>
    </xf>
    <xf numFmtId="0" fontId="11" fillId="0" borderId="0" xfId="13" applyFont="1" applyBorder="1" applyAlignment="1">
      <alignment horizontal="center" vertical="center"/>
    </xf>
    <xf numFmtId="0" fontId="13" fillId="42" borderId="7" xfId="13" applyNumberFormat="1" applyFont="1" applyFill="1" applyBorder="1" applyAlignment="1">
      <alignment horizontal="center" vertical="center"/>
    </xf>
    <xf numFmtId="0" fontId="13" fillId="42" borderId="8" xfId="13" applyFont="1" applyFill="1" applyBorder="1" applyAlignment="1">
      <alignment horizontal="center" vertical="center"/>
    </xf>
    <xf numFmtId="0" fontId="121" fillId="28" borderId="29" xfId="0" applyFont="1" applyFill="1" applyBorder="1" applyAlignment="1">
      <alignment horizontal="center" vertical="center"/>
    </xf>
    <xf numFmtId="0" fontId="121" fillId="28" borderId="35" xfId="0" applyFont="1" applyFill="1" applyBorder="1" applyAlignment="1">
      <alignment horizontal="center" vertical="center"/>
    </xf>
    <xf numFmtId="0" fontId="121" fillId="28" borderId="30" xfId="0" applyFont="1" applyFill="1" applyBorder="1" applyAlignment="1">
      <alignment horizontal="center" vertical="center"/>
    </xf>
    <xf numFmtId="0" fontId="1" fillId="0" borderId="0" xfId="0">
      <alignment vertical="center"/>
    </xf>
    <xf numFmtId="164" fontId="11" fillId="0" borderId="0" xfId="13" applyNumberFormat="1" applyFont="1" applyBorder="1" applyAlignment="1">
      <alignment horizontal="center" vertical="center"/>
    </xf>
    <xf numFmtId="0" fontId="121" fillId="28" borderId="32" xfId="0" applyFont="1" applyFill="1" applyBorder="1" applyAlignment="1">
      <alignment horizontal="center" vertical="center"/>
    </xf>
    <xf numFmtId="0" fontId="121" fillId="28" borderId="38" xfId="0" applyFont="1" applyFill="1" applyBorder="1" applyAlignment="1">
      <alignment horizontal="center" vertical="center"/>
    </xf>
    <xf numFmtId="0" fontId="121" fillId="28" borderId="39" xfId="0" applyFont="1" applyFill="1" applyBorder="1" applyAlignment="1">
      <alignment horizontal="center" vertical="center"/>
    </xf>
    <xf numFmtId="10" fontId="122" fillId="28" borderId="1" xfId="14" applyNumberFormat="1" applyFont="1" applyFill="1" applyBorder="1" applyAlignment="1">
      <alignment horizontal="center" vertical="center"/>
    </xf>
    <xf numFmtId="0" fontId="123" fillId="0" borderId="35" xfId="14" applyFont="1" applyBorder="1" applyAlignment="1">
      <alignment horizontal="center" vertical="center"/>
    </xf>
    <xf numFmtId="0" fontId="123" fillId="0" borderId="30" xfId="14" applyFont="1" applyBorder="1" applyAlignment="1">
      <alignment horizontal="center" vertical="center"/>
    </xf>
    <xf numFmtId="0" fontId="11" fillId="0" borderId="0" xfId="14" applyFont="1" applyBorder="1" applyAlignment="1">
      <alignment horizontal="center" vertical="center"/>
    </xf>
    <xf numFmtId="0" fontId="122" fillId="28" borderId="1" xfId="14" applyFont="1" applyFill="1" applyBorder="1" applyAlignment="1">
      <alignment horizontal="center" vertical="center"/>
    </xf>
    <xf numFmtId="0" fontId="11" fillId="0" borderId="35" xfId="13" applyFont="1" applyBorder="1" applyAlignment="1">
      <alignment horizontal="center" vertical="center"/>
    </xf>
    <xf numFmtId="0" fontId="11" fillId="0" borderId="30" xfId="13" applyFont="1" applyBorder="1" applyAlignment="1">
      <alignment horizontal="center" vertical="center"/>
    </xf>
    <xf numFmtId="0" fontId="60" fillId="0" borderId="0" xfId="0" applyFont="1" applyAlignment="1">
      <alignment horizontal="center" vertical="center"/>
    </xf>
    <xf numFmtId="10" fontId="123" fillId="0" borderId="33" xfId="14" applyNumberFormat="1" applyFont="1" applyBorder="1" applyAlignment="1">
      <alignment horizontal="center" vertical="center"/>
    </xf>
    <xf numFmtId="0" fontId="123" fillId="0" borderId="0" xfId="14" applyFont="1" applyBorder="1" applyAlignment="1">
      <alignment horizontal="center" vertical="center"/>
    </xf>
    <xf numFmtId="0" fontId="123" fillId="0" borderId="34" xfId="14" applyFont="1" applyBorder="1" applyAlignment="1">
      <alignment horizontal="center" vertical="center"/>
    </xf>
    <xf numFmtId="0" fontId="123" fillId="0" borderId="33" xfId="14" applyFont="1" applyBorder="1" applyAlignment="1">
      <alignment horizontal="center" vertical="center"/>
    </xf>
    <xf numFmtId="0" fontId="11" fillId="0" borderId="34" xfId="13" applyFont="1" applyBorder="1" applyAlignment="1">
      <alignment horizontal="center" vertical="center"/>
    </xf>
    <xf numFmtId="0" fontId="123" fillId="0" borderId="1" xfId="14" applyFont="1" applyBorder="1" applyAlignment="1">
      <alignment horizontal="center" vertical="center"/>
    </xf>
    <xf numFmtId="0" fontId="123" fillId="0" borderId="28" xfId="14" applyFont="1" applyBorder="1" applyAlignment="1">
      <alignment horizontal="center" vertical="center"/>
    </xf>
    <xf numFmtId="0" fontId="123" fillId="42" borderId="34" xfId="14" applyFont="1" applyFill="1" applyBorder="1" applyAlignment="1">
      <alignment horizontal="center" vertical="center"/>
    </xf>
    <xf numFmtId="0" fontId="123" fillId="0" borderId="29" xfId="14" applyFont="1" applyBorder="1" applyAlignment="1">
      <alignment horizontal="center" vertical="center"/>
    </xf>
    <xf numFmtId="2" fontId="123" fillId="42" borderId="34" xfId="14" applyNumberFormat="1" applyFont="1" applyFill="1" applyBorder="1" applyAlignment="1">
      <alignment horizontal="center" vertical="center"/>
    </xf>
    <xf numFmtId="0" fontId="124" fillId="0" borderId="0" xfId="14" applyFont="1" applyBorder="1" applyAlignment="1">
      <alignment horizontal="center" vertical="center"/>
    </xf>
    <xf numFmtId="0" fontId="124" fillId="0" borderId="0" xfId="13" applyFont="1" applyBorder="1" applyAlignment="1">
      <alignment horizontal="center" vertical="center"/>
    </xf>
    <xf numFmtId="0" fontId="11" fillId="31" borderId="9" xfId="13" applyFont="1" applyFill="1" applyBorder="1" applyAlignment="1">
      <alignment horizontal="center" vertical="center"/>
    </xf>
    <xf numFmtId="0" fontId="11" fillId="31" borderId="10" xfId="13" applyFont="1" applyFill="1" applyBorder="1" applyAlignment="1">
      <alignment horizontal="center" vertical="center"/>
    </xf>
    <xf numFmtId="0" fontId="11" fillId="31" borderId="11" xfId="13" applyFont="1" applyFill="1" applyBorder="1" applyAlignment="1">
      <alignment horizontal="center" vertical="center"/>
    </xf>
    <xf numFmtId="0" fontId="60" fillId="91" borderId="9" xfId="0" applyFont="1" applyFill="1" applyBorder="1" applyAlignment="1">
      <alignment horizontal="center" vertical="center"/>
      <protection locked="0" hidden="0"/>
    </xf>
    <xf numFmtId="0" fontId="60" fillId="91" borderId="10" xfId="0" applyFont="1" applyFill="1" applyBorder="1" applyAlignment="1">
      <alignment horizontal="center" vertical="center"/>
      <protection locked="0" hidden="0"/>
    </xf>
    <xf numFmtId="0" fontId="60" fillId="91" borderId="11" xfId="0" applyFont="1" applyFill="1" applyBorder="1" applyAlignment="1">
      <alignment horizontal="center" vertical="center"/>
      <protection locked="0" hidden="0"/>
    </xf>
    <xf numFmtId="0" fontId="123" fillId="42" borderId="34" xfId="14" applyNumberFormat="1" applyFont="1" applyFill="1" applyBorder="1" applyAlignment="1">
      <alignment horizontal="center" vertical="center"/>
    </xf>
    <xf numFmtId="0" fontId="123" fillId="0" borderId="7" xfId="14" applyFont="1" applyBorder="1" applyAlignment="1">
      <alignment horizontal="center" vertical="center"/>
    </xf>
    <xf numFmtId="0" fontId="123" fillId="0" borderId="28" xfId="14" applyFont="1" applyBorder="1" applyAlignment="1">
      <alignment horizontal="center" vertical="center"/>
    </xf>
    <xf numFmtId="0" fontId="123" fillId="0" borderId="34" xfId="14" applyNumberFormat="1" applyFont="1" applyBorder="1" applyAlignment="1">
      <alignment horizontal="center" vertical="center"/>
    </xf>
    <xf numFmtId="0" fontId="123" fillId="0" borderId="1" xfId="14" applyFont="1" applyBorder="1" applyAlignment="1">
      <alignment horizontal="center" vertical="center"/>
    </xf>
    <xf numFmtId="0" fontId="11" fillId="31" borderId="12" xfId="13" applyFont="1" applyFill="1" applyBorder="1" applyAlignment="1">
      <alignment horizontal="center" vertical="center"/>
    </xf>
    <xf numFmtId="0" fontId="11" fillId="31" borderId="13" xfId="13" applyFont="1" applyFill="1" applyBorder="1" applyAlignment="1">
      <alignment horizontal="center" vertical="center"/>
    </xf>
    <xf numFmtId="0" fontId="11" fillId="31" borderId="14" xfId="13" applyFont="1" applyFill="1" applyBorder="1" applyAlignment="1">
      <alignment horizontal="center" vertical="center"/>
    </xf>
    <xf numFmtId="0" fontId="60" fillId="91" borderId="12" xfId="0" applyFont="1" applyFill="1" applyBorder="1" applyAlignment="1">
      <alignment horizontal="center" vertical="center"/>
      <protection locked="0" hidden="0"/>
    </xf>
    <xf numFmtId="0" fontId="60" fillId="91" borderId="13" xfId="0" applyFont="1" applyFill="1" applyBorder="1" applyAlignment="1">
      <alignment horizontal="center" vertical="center"/>
      <protection locked="0" hidden="0"/>
    </xf>
    <xf numFmtId="0" fontId="60" fillId="91" borderId="14" xfId="0" applyFont="1" applyFill="1" applyBorder="1" applyAlignment="1">
      <alignment horizontal="center" vertical="center"/>
      <protection locked="0" hidden="0"/>
    </xf>
    <xf numFmtId="10" fontId="123" fillId="0" borderId="32" xfId="14" applyNumberFormat="1" applyFont="1" applyBorder="1" applyAlignment="1">
      <alignment horizontal="center" vertical="center"/>
    </xf>
    <xf numFmtId="0" fontId="123" fillId="42" borderId="39" xfId="14" applyFont="1" applyFill="1" applyBorder="1" applyAlignment="1">
      <alignment horizontal="center" vertical="center"/>
    </xf>
    <xf numFmtId="2" fontId="123" fillId="50" borderId="28" xfId="14" applyNumberFormat="1" applyFont="1" applyFill="1" applyBorder="1" applyAlignment="1">
      <alignment horizontal="center" vertical="center"/>
    </xf>
    <xf numFmtId="0" fontId="11" fillId="0" borderId="1" xfId="13" applyFont="1" applyBorder="1" applyAlignment="1">
      <alignment horizontal="center" vertical="center"/>
    </xf>
    <xf numFmtId="0" fontId="123" fillId="0" borderId="32" xfId="14" applyFont="1" applyBorder="1" applyAlignment="1">
      <alignment horizontal="center" vertical="center"/>
    </xf>
    <xf numFmtId="0" fontId="123" fillId="0" borderId="39" xfId="14" applyFont="1" applyBorder="1" applyAlignment="1">
      <alignment horizontal="center" vertical="center"/>
    </xf>
    <xf numFmtId="0" fontId="123" fillId="0" borderId="31" xfId="14" applyFont="1" applyBorder="1" applyAlignment="1">
      <alignment horizontal="center" vertical="center"/>
    </xf>
    <xf numFmtId="2" fontId="123" fillId="0" borderId="31" xfId="14" applyNumberFormat="1" applyFont="1" applyFill="1" applyBorder="1" applyAlignment="1">
      <alignment horizontal="center" vertical="center"/>
    </xf>
    <xf numFmtId="2" fontId="123" fillId="50" borderId="31" xfId="14" applyNumberFormat="1" applyFont="1" applyFill="1" applyBorder="1" applyAlignment="1">
      <alignment horizontal="center" vertical="center"/>
    </xf>
    <xf numFmtId="0" fontId="60" fillId="0" borderId="0" xfId="0" applyNumberFormat="1" applyFont="1" applyAlignment="1">
      <alignment horizontal="center" vertical="center"/>
    </xf>
    <xf numFmtId="0" fontId="1" fillId="0" borderId="7" xfId="13" applyNumberFormat="1" applyFont="1" applyBorder="1" applyAlignment="1">
      <alignment horizontal="center" vertical="center"/>
    </xf>
    <xf numFmtId="0" fontId="1" fillId="0" borderId="43" xfId="13" applyNumberFormat="1" applyFont="1" applyBorder="1" applyAlignment="1">
      <alignment horizontal="center" vertical="center"/>
    </xf>
    <xf numFmtId="0" fontId="1" fillId="0" borderId="8" xfId="13" applyNumberFormat="1" applyFont="1" applyBorder="1" applyAlignment="1">
      <alignment horizontal="center" vertical="center"/>
    </xf>
    <xf numFmtId="0" fontId="1" fillId="0" borderId="0" xfId="0" applyBorder="1">
      <alignment vertical="center"/>
    </xf>
    <xf numFmtId="0" fontId="11" fillId="0" borderId="2" xfId="13" applyFont="1" applyBorder="1" applyAlignment="1">
      <alignment horizontal="center" vertical="center"/>
    </xf>
    <xf numFmtId="0" fontId="60" fillId="34" borderId="1" xfId="0" applyFont="1" applyFill="1" applyBorder="1" applyAlignment="1">
      <alignment horizontal="center" vertical="center"/>
      <protection locked="0" hidden="0"/>
    </xf>
    <xf numFmtId="0" fontId="11" fillId="0" borderId="8" xfId="13" applyFont="1" applyBorder="1" applyAlignment="1">
      <alignment horizontal="center" vertical="center"/>
    </xf>
    <xf numFmtId="0" fontId="98" fillId="0" borderId="1" xfId="13" applyFont="1" applyBorder="1" applyAlignment="1">
      <alignment horizontal="center" vertical="center"/>
    </xf>
    <xf numFmtId="0" fontId="11" fillId="0" borderId="33" xfId="13" applyFont="1" applyBorder="1" applyAlignment="1">
      <alignment horizontal="center" vertical="center"/>
    </xf>
    <xf numFmtId="10" fontId="11" fillId="42" borderId="17" xfId="13" applyNumberFormat="1" applyFont="1" applyFill="1" applyBorder="1" applyAlignment="1">
      <alignment horizontal="center" vertical="center"/>
    </xf>
    <xf numFmtId="0" fontId="11" fillId="0" borderId="43" xfId="13" applyFont="1" applyBorder="1" applyAlignment="1">
      <alignment horizontal="center" vertical="center"/>
    </xf>
    <xf numFmtId="0" fontId="11" fillId="0" borderId="1" xfId="13" applyFont="1" applyFill="1" applyBorder="1" applyAlignment="1">
      <alignment horizontal="center" vertical="center"/>
    </xf>
    <xf numFmtId="0" fontId="1" fillId="0" borderId="0" xfId="0" applyAlignment="1">
      <alignment horizontal="center" vertical="center"/>
    </xf>
    <xf numFmtId="0" fontId="11" fillId="0" borderId="1" xfId="13" applyNumberFormat="1" applyFont="1" applyBorder="1" applyAlignment="1">
      <alignment horizontal="center" vertical="center"/>
    </xf>
    <xf numFmtId="0" fontId="60" fillId="0" borderId="1" xfId="0" applyFont="1" applyBorder="1" applyAlignment="1">
      <alignment horizontal="center" vertical="center"/>
    </xf>
    <xf numFmtId="0" fontId="1" fillId="0" borderId="1" xfId="13" applyNumberFormat="1" applyFont="1" applyBorder="1" applyAlignment="1">
      <alignment horizontal="center" vertical="center"/>
    </xf>
    <xf numFmtId="2" fontId="123" fillId="0" borderId="30" xfId="14" applyNumberFormat="1" applyFont="1" applyBorder="1" applyAlignment="1">
      <alignment horizontal="center" vertical="center"/>
    </xf>
    <xf numFmtId="164" fontId="11" fillId="6" borderId="3" xfId="13" applyNumberFormat="1" applyFont="1" applyFill="1" applyBorder="1" applyAlignment="1">
      <alignment horizontal="center" vertical="center"/>
    </xf>
    <xf numFmtId="2" fontId="11" fillId="42" borderId="3" xfId="13" applyNumberFormat="1" applyFont="1" applyFill="1" applyBorder="1" applyAlignment="1">
      <alignment horizontal="center" vertical="center"/>
    </xf>
    <xf numFmtId="0" fontId="11" fillId="6" borderId="0" xfId="13" applyFont="1" applyFill="1" applyBorder="1" applyAlignment="1">
      <alignment horizontal="center" vertical="center"/>
    </xf>
    <xf numFmtId="2" fontId="11" fillId="6" borderId="29" xfId="13" applyNumberFormat="1" applyFont="1" applyFill="1" applyBorder="1" applyAlignment="1">
      <alignment horizontal="center" vertical="center"/>
    </xf>
    <xf numFmtId="0" fontId="11" fillId="6" borderId="29" xfId="13" applyFont="1" applyFill="1" applyBorder="1" applyAlignment="1">
      <alignment horizontal="center" vertical="center"/>
    </xf>
    <xf numFmtId="0" fontId="11" fillId="6" borderId="28" xfId="13" applyFont="1" applyFill="1" applyBorder="1" applyAlignment="1">
      <alignment horizontal="center" vertical="center"/>
    </xf>
    <xf numFmtId="2" fontId="11" fillId="6" borderId="31" xfId="13" applyNumberFormat="1" applyFont="1" applyFill="1" applyBorder="1" applyAlignment="1">
      <alignment horizontal="center" vertical="center"/>
    </xf>
    <xf numFmtId="2" fontId="11" fillId="6" borderId="28" xfId="13" applyNumberFormat="1" applyFont="1" applyFill="1" applyBorder="1" applyAlignment="1">
      <alignment horizontal="center" vertical="center"/>
    </xf>
    <xf numFmtId="2" fontId="60" fillId="0" borderId="0" xfId="0" applyNumberFormat="1" applyFont="1" applyAlignment="1">
      <alignment horizontal="center" vertical="center"/>
    </xf>
    <xf numFmtId="164" fontId="13" fillId="0" borderId="0" xfId="13" applyNumberFormat="1" applyFont="1" applyBorder="1" applyAlignment="1">
      <alignment horizontal="center" vertical="center"/>
    </xf>
    <xf numFmtId="2" fontId="11" fillId="0" borderId="0" xfId="13" applyNumberFormat="1" applyFont="1" applyBorder="1" applyAlignment="1">
      <alignment horizontal="center" vertical="center"/>
    </xf>
    <xf numFmtId="0" fontId="13" fillId="0" borderId="0" xfId="13" applyFont="1" applyBorder="1" applyAlignment="1">
      <alignment horizontal="center" vertical="center"/>
    </xf>
    <xf numFmtId="0" fontId="123" fillId="0" borderId="32" xfId="14" applyFont="1" applyBorder="1" applyAlignment="1">
      <alignment horizontal="center" vertical="center"/>
    </xf>
    <xf numFmtId="0" fontId="123" fillId="0" borderId="38" xfId="14" applyFont="1" applyBorder="1" applyAlignment="1">
      <alignment horizontal="center" vertical="center"/>
    </xf>
    <xf numFmtId="167" fontId="123" fillId="0" borderId="39" xfId="14" applyNumberFormat="1" applyFont="1" applyBorder="1" applyAlignment="1">
      <alignment horizontal="center" vertical="center"/>
    </xf>
    <xf numFmtId="2" fontId="123" fillId="0" borderId="34" xfId="14" applyNumberFormat="1" applyFont="1" applyBorder="1" applyAlignment="1">
      <alignment horizontal="center" vertical="center"/>
    </xf>
    <xf numFmtId="164" fontId="11" fillId="0" borderId="19" xfId="13" applyNumberFormat="1" applyFont="1" applyBorder="1" applyAlignment="1">
      <alignment horizontal="center" vertical="center"/>
    </xf>
    <xf numFmtId="2" fontId="11" fillId="42" borderId="19" xfId="13" applyNumberFormat="1" applyFont="1" applyFill="1" applyBorder="1" applyAlignment="1">
      <alignment horizontal="center" vertical="center"/>
    </xf>
    <xf numFmtId="2" fontId="11" fillId="31" borderId="31" xfId="13" applyNumberFormat="1" applyFont="1" applyFill="1" applyBorder="1" applyAlignment="1">
      <alignment horizontal="center" vertical="center"/>
    </xf>
    <xf numFmtId="0" fontId="11" fillId="31" borderId="31" xfId="13" applyFont="1" applyFill="1" applyBorder="1" applyAlignment="1">
      <alignment horizontal="center" vertical="center"/>
    </xf>
    <xf numFmtId="2" fontId="11" fillId="0" borderId="31" xfId="13" applyNumberFormat="1" applyFont="1" applyFill="1" applyBorder="1" applyAlignment="1">
      <alignment horizontal="center" vertical="center"/>
    </xf>
    <xf numFmtId="0" fontId="11" fillId="0" borderId="31" xfId="13" applyFont="1" applyBorder="1" applyAlignment="1">
      <alignment horizontal="center" vertical="center"/>
    </xf>
    <xf numFmtId="167" fontId="123" fillId="0" borderId="0" xfId="14" applyNumberFormat="1" applyFont="1" applyBorder="1" applyAlignment="1">
      <alignment horizontal="center" vertical="center"/>
    </xf>
    <xf numFmtId="2" fontId="123" fillId="0" borderId="0" xfId="14" applyNumberFormat="1" applyFont="1" applyBorder="1" applyAlignment="1">
      <alignment horizontal="center" vertical="center"/>
    </xf>
    <xf numFmtId="164" fontId="11" fillId="0" borderId="19" xfId="13" applyNumberFormat="1" applyFont="1" applyFill="1" applyBorder="1" applyAlignment="1">
      <alignment horizontal="center" vertical="center"/>
    </xf>
    <xf numFmtId="0" fontId="123" fillId="0" borderId="1" xfId="14" applyFont="1" applyBorder="1" applyAlignment="1">
      <alignment horizontal="center" vertical="center"/>
    </xf>
    <xf numFmtId="2" fontId="123" fillId="50" borderId="40" xfId="14" applyNumberFormat="1" applyFont="1" applyFill="1" applyBorder="1" applyAlignment="1">
      <alignment horizontal="center" vertical="center"/>
    </xf>
    <xf numFmtId="0" fontId="123" fillId="0" borderId="40" xfId="14" applyFont="1" applyBorder="1" applyAlignment="1">
      <alignment horizontal="center" vertical="center"/>
    </xf>
    <xf numFmtId="0" fontId="123" fillId="50" borderId="1" xfId="14" applyFont="1" applyFill="1" applyBorder="1" applyAlignment="1">
      <alignment horizontal="center" vertical="center"/>
      <protection locked="0" hidden="0"/>
    </xf>
    <xf numFmtId="2" fontId="123" fillId="0" borderId="31" xfId="14" applyNumberFormat="1" applyFont="1" applyBorder="1" applyAlignment="1">
      <alignment horizontal="center" vertical="center"/>
    </xf>
    <xf numFmtId="164" fontId="11" fillId="6" borderId="19" xfId="13" applyNumberFormat="1" applyFont="1" applyFill="1" applyBorder="1" applyAlignment="1">
      <alignment horizontal="center" vertical="center"/>
    </xf>
    <xf numFmtId="0" fontId="11" fillId="6" borderId="31" xfId="13" applyFont="1" applyFill="1" applyBorder="1" applyAlignment="1">
      <alignment horizontal="center" vertical="center"/>
    </xf>
    <xf numFmtId="0" fontId="123" fillId="0" borderId="0" xfId="14" applyFont="1" applyBorder="1" applyAlignment="1">
      <alignment horizontal="center" vertical="center"/>
    </xf>
    <xf numFmtId="0" fontId="123" fillId="0" borderId="33" xfId="14" applyFont="1" applyBorder="1" applyAlignment="1">
      <alignment horizontal="center" vertical="center"/>
    </xf>
    <xf numFmtId="0" fontId="123" fillId="0" borderId="0" xfId="14" applyFont="1" applyBorder="1" applyAlignment="1">
      <alignment horizontal="center" vertical="center"/>
    </xf>
    <xf numFmtId="0" fontId="125" fillId="0" borderId="15" xfId="14" applyFont="1" applyBorder="1" applyAlignment="1">
      <alignment horizontal="center" vertical="center"/>
    </xf>
    <xf numFmtId="0" fontId="125" fillId="0" borderId="16" xfId="14" applyFont="1" applyBorder="1" applyAlignment="1">
      <alignment horizontal="center" vertical="center"/>
    </xf>
    <xf numFmtId="0" fontId="125" fillId="0" borderId="17" xfId="14" applyFont="1" applyBorder="1" applyAlignment="1">
      <alignment horizontal="center" vertical="center"/>
    </xf>
    <xf numFmtId="0" fontId="125" fillId="0" borderId="40" xfId="14" applyFont="1" applyBorder="1" applyAlignment="1">
      <alignment horizontal="center" vertical="center"/>
    </xf>
    <xf numFmtId="2" fontId="125" fillId="50" borderId="28" xfId="14" applyNumberFormat="1" applyFont="1" applyFill="1" applyBorder="1" applyAlignment="1">
      <alignment horizontal="center" vertical="center"/>
    </xf>
    <xf numFmtId="2" fontId="125" fillId="50" borderId="31" xfId="14" applyNumberFormat="1" applyFont="1" applyFill="1" applyBorder="1" applyAlignment="1">
      <alignment horizontal="center" vertical="center"/>
    </xf>
    <xf numFmtId="0" fontId="11" fillId="0" borderId="31" xfId="14" applyFont="1" applyBorder="1" applyAlignment="1">
      <alignment horizontal="center" vertical="center"/>
    </xf>
    <xf numFmtId="0" fontId="1" fillId="0" borderId="31" xfId="13" applyFont="1" applyBorder="1" applyAlignment="1">
      <alignment horizontal="center" vertical="center"/>
    </xf>
    <xf numFmtId="10" fontId="123" fillId="0" borderId="0" xfId="14" applyNumberFormat="1" applyFont="1" applyBorder="1" applyAlignment="1">
      <alignment horizontal="center" vertical="center"/>
    </xf>
    <xf numFmtId="2" fontId="125" fillId="50" borderId="40" xfId="14" applyNumberFormat="1" applyFont="1" applyFill="1" applyBorder="1" applyAlignment="1">
      <alignment horizontal="center" vertical="center"/>
    </xf>
    <xf numFmtId="0" fontId="11" fillId="0" borderId="28" xfId="13" applyFont="1" applyBorder="1" applyAlignment="1">
      <alignment horizontal="center" vertical="center"/>
    </xf>
    <xf numFmtId="2" fontId="123" fillId="0" borderId="28" xfId="14" applyNumberFormat="1" applyFont="1" applyBorder="1" applyAlignment="1">
      <alignment horizontal="center" vertical="center"/>
    </xf>
    <xf numFmtId="167" fontId="123" fillId="0" borderId="31" xfId="14" applyNumberFormat="1" applyFont="1" applyBorder="1" applyAlignment="1">
      <alignment horizontal="center" vertical="center"/>
    </xf>
    <xf numFmtId="0" fontId="11" fillId="31" borderId="31" xfId="13" applyNumberFormat="1" applyFont="1" applyFill="1" applyBorder="1" applyAlignment="1">
      <alignment horizontal="center" vertical="center"/>
    </xf>
    <xf numFmtId="0" fontId="11" fillId="0" borderId="31" xfId="13" applyNumberFormat="1" applyFont="1" applyFill="1" applyBorder="1" applyAlignment="1">
      <alignment horizontal="center" vertical="center"/>
    </xf>
    <xf numFmtId="167" fontId="123" fillId="0" borderId="40" xfId="14" applyNumberFormat="1" applyFont="1" applyBorder="1" applyAlignment="1">
      <alignment horizontal="center" vertical="center"/>
    </xf>
    <xf numFmtId="2" fontId="123" fillId="0" borderId="40" xfId="14" applyNumberFormat="1" applyFont="1" applyBorder="1" applyAlignment="1">
      <alignment horizontal="center" vertical="center"/>
    </xf>
    <xf numFmtId="0" fontId="11" fillId="6" borderId="31" xfId="13" applyNumberFormat="1" applyFont="1" applyFill="1" applyBorder="1" applyAlignment="1">
      <alignment horizontal="center" vertical="center"/>
    </xf>
    <xf numFmtId="10" fontId="11" fillId="0" borderId="33" xfId="13" applyNumberFormat="1" applyFont="1" applyBorder="1" applyAlignment="1">
      <alignment horizontal="center" vertical="center"/>
    </xf>
    <xf numFmtId="0" fontId="11" fillId="0" borderId="32" xfId="13" applyFont="1" applyBorder="1" applyAlignment="1">
      <alignment horizontal="center" vertical="center"/>
    </xf>
    <xf numFmtId="0" fontId="11" fillId="0" borderId="38" xfId="13" applyFont="1" applyBorder="1" applyAlignment="1">
      <alignment horizontal="center" vertical="center"/>
    </xf>
    <xf numFmtId="0" fontId="11" fillId="0" borderId="39" xfId="13" applyFont="1" applyBorder="1" applyAlignment="1">
      <alignment horizontal="center" vertical="center"/>
    </xf>
    <xf numFmtId="164" fontId="11" fillId="6" borderId="5" xfId="13" applyNumberFormat="1" applyFont="1" applyFill="1" applyBorder="1" applyAlignment="1">
      <alignment horizontal="center" vertical="center"/>
    </xf>
    <xf numFmtId="2" fontId="11" fillId="42" borderId="5" xfId="13" applyNumberFormat="1" applyFont="1" applyFill="1" applyBorder="1" applyAlignment="1">
      <alignment horizontal="center" vertical="center"/>
    </xf>
    <xf numFmtId="0" fontId="11" fillId="6" borderId="57" xfId="13" applyFont="1" applyFill="1" applyBorder="1" applyAlignment="1">
      <alignment horizontal="center" vertical="center"/>
    </xf>
    <xf numFmtId="2" fontId="11" fillId="6" borderId="40" xfId="13" applyNumberFormat="1" applyFont="1" applyFill="1" applyBorder="1" applyAlignment="1">
      <alignment horizontal="center" vertical="center"/>
    </xf>
    <xf numFmtId="0" fontId="11" fillId="6" borderId="40" xfId="13" applyFont="1" applyFill="1" applyBorder="1" applyAlignment="1">
      <alignment horizontal="center" vertical="center"/>
    </xf>
    <xf numFmtId="0" fontId="11" fillId="6" borderId="40" xfId="13" applyNumberFormat="1" applyFont="1" applyFill="1" applyBorder="1" applyAlignment="1">
      <alignment horizontal="center" vertical="center"/>
    </xf>
    <xf numFmtId="0" fontId="11" fillId="6" borderId="58" xfId="13" applyNumberFormat="1" applyFont="1" applyFill="1" applyBorder="1" applyAlignment="1">
      <alignment horizontal="center" vertical="center"/>
    </xf>
    <xf numFmtId="0" fontId="1" fillId="0" borderId="35" xfId="0" applyBorder="1">
      <alignment vertical="center"/>
    </xf>
  </cellXfs>
  <cellStyles count="15">
    <cellStyle name="常规" xfId="0" builtinId="0"/>
    <cellStyle name="ปกติ 2" xfId="1"/>
    <cellStyle name="Normal 2 2" xfId="2"/>
    <cellStyle name="Normal 4" xfId="3"/>
    <cellStyle name="ปกติ 3 4" xfId="4"/>
    <cellStyle name="Hyperlink" xfId="5"/>
    <cellStyle name="百分比" xfId="6" builtinId="5"/>
    <cellStyle name="Excel Built-in Normal" xfId="7"/>
    <cellStyle name="ปกติ 4" xfId="8"/>
    <cellStyle name="20% - Ênfase4 3" xfId="9"/>
    <cellStyle name="ปานกลาง" xfId="10"/>
    <cellStyle name="千位分隔" xfId="11" builtinId="3"/>
    <cellStyle name="เปอร์เซ็นต์ 2" xfId="12"/>
    <cellStyle name="Normal 3 2 2" xfId="13"/>
    <cellStyle name="Normal 2 2 2" xfId="14"/>
  </cellStyles>
  <dxfs count="0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Relationship Id="rId11" Type="http://www.wps.cn/officeDocument/2020/cellImage" Target="cellimages.xml"/><Relationship Id="rId12" Type="http://schemas.openxmlformats.org/officeDocument/2006/relationships/sharedStrings" Target="sharedStrings.xml"/><Relationship Id="rId13" Type="http://schemas.openxmlformats.org/officeDocument/2006/relationships/styles" Target="styles.xml"/><Relationship Id="rId14" Type="http://schemas.openxmlformats.org/officeDocument/2006/relationships/theme" Target="theme/theme1.xml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0.jpeg"/><Relationship Id="rId2" Type="http://schemas.openxmlformats.org/officeDocument/2006/relationships/image" Target="../media/image1.jpe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2.jpeg"/><Relationship Id="rId2" Type="http://schemas.openxmlformats.org/officeDocument/2006/relationships/image" Target="../media/image3.jpeg"/></Relationships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33523</xdr:colOff>
      <xdr:row>60</xdr:row>
      <xdr:rowOff>0</xdr:rowOff>
    </xdr:from>
    <xdr:to>
      <xdr:col>12</xdr:col>
      <xdr:colOff>164455</xdr:colOff>
      <xdr:row>75</xdr:row>
      <xdr:rowOff>50601</xdr:rowOff>
    </xdr:to>
    <xdr:pic>
      <xdr:nvPicPr>
        <xdr:cNvPr id="2" name="รูปภาพ 1" descr="pangya_026.jpg"/>
        <xdr:cNvPicPr/>
      </xdr:nvPicPr>
      <xdr:blipFill>
        <a:blip xmlns:r="http://schemas.openxmlformats.org/officeDocument/2006/relationships" r:embed="rId1"/>
        <a:srcRect t="36288"/>
        <a:stretch>
          <a:fillRect/>
        </a:stretch>
      </xdr:blipFill>
      <xdr:spPr>
        <a:xfrm>
          <a:off x="35720" y="9917909"/>
          <a:ext cx="6274594" cy="2928858"/>
        </a:xfrm>
        <a:prstGeom prst="rect">
          <a:avLst/>
        </a:prstGeom>
        <a:noFill/>
        <a:ln w="19050" cap="flat" cmpd="sng">
          <a:solidFill>
            <a:srgbClr val="ffffff"/>
          </a:solidFill>
          <a:prstDash val="solid"/>
          <a:miter/>
        </a:ln>
        <a:effectLst/>
      </xdr:spPr>
    </xdr:pic>
    <xdr:clientData/>
  </xdr:twoCellAnchor>
  <xdr:twoCellAnchor>
    <xdr:from>
      <xdr:col>4</xdr:col>
      <xdr:colOff>21505</xdr:colOff>
      <xdr:row>25</xdr:row>
      <xdr:rowOff>0</xdr:rowOff>
    </xdr:from>
    <xdr:to>
      <xdr:col>6</xdr:col>
      <xdr:colOff>222115</xdr:colOff>
      <xdr:row>31</xdr:row>
      <xdr:rowOff>0</xdr:rowOff>
    </xdr:to>
    <xdr:pic>
      <xdr:nvPicPr>
        <xdr:cNvPr id="3" name="รูปภาพ 3" descr="pangya_026.jpg"/>
        <xdr:cNvPicPr/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2071688" y="4500562"/>
          <a:ext cx="1110089" cy="1119188"/>
        </a:xfrm>
        <a:prstGeom prst="rect">
          <a:avLst/>
        </a:prstGeom>
        <a:noFill/>
        <a:ln w="28575" cap="flat" cmpd="sng">
          <a:solidFill>
            <a:srgbClr val="000000"/>
          </a:solidFill>
          <a:prstDash val="solid"/>
          <a:miter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39543</xdr:colOff>
      <xdr:row>33</xdr:row>
      <xdr:rowOff>0</xdr:rowOff>
    </xdr:from>
    <xdr:to>
      <xdr:col>3</xdr:col>
      <xdr:colOff>441067</xdr:colOff>
      <xdr:row>43</xdr:row>
      <xdr:rowOff>0</xdr:rowOff>
    </xdr:to>
    <xdr:pic>
      <xdr:nvPicPr>
        <xdr:cNvPr id="2" name="รูปภาพ 1" descr="Spin 24.jpg"/>
        <xdr:cNvPicPr/>
      </xdr:nvPicPr>
      <xdr:blipFill>
        <a:blip xmlns:r="http://schemas.openxmlformats.org/officeDocument/2006/relationships" r:embed="rId1"/>
        <a:srcRect/>
        <a:stretch>
          <a:fillRect/>
        </a:stretch>
      </xdr:blipFill>
      <xdr:spPr>
        <a:xfrm>
          <a:off x="238123" y="6119812"/>
          <a:ext cx="1685925" cy="1943100"/>
        </a:xfrm>
        <a:prstGeom prst="rect">
          <a:avLst/>
        </a:prstGeom>
        <a:noFill/>
        <a:ln w="9525" cap="flat" cmpd="sng">
          <a:solidFill>
            <a:srgbClr val="000000"/>
          </a:solidFill>
          <a:prstDash val="solid"/>
          <a:miter/>
        </a:ln>
        <a:effectLst/>
      </xdr:spPr>
    </xdr:pic>
    <xdr:clientData/>
  </xdr:twoCellAnchor>
  <xdr:twoCellAnchor>
    <xdr:from>
      <xdr:col>5</xdr:col>
      <xdr:colOff>94113</xdr:colOff>
      <xdr:row>33</xdr:row>
      <xdr:rowOff>0</xdr:rowOff>
    </xdr:from>
    <xdr:to>
      <xdr:col>7</xdr:col>
      <xdr:colOff>485996</xdr:colOff>
      <xdr:row>43</xdr:row>
      <xdr:rowOff>0</xdr:rowOff>
    </xdr:to>
    <xdr:pic>
      <xdr:nvPicPr>
        <xdr:cNvPr id="3" name="รูปภาพ 2" descr="Spin 27.jpg"/>
        <xdr:cNvPicPr/>
      </xdr:nvPicPr>
      <xdr:blipFill>
        <a:blip xmlns:r="http://schemas.openxmlformats.org/officeDocument/2006/relationships" r:embed="rId2"/>
        <a:srcRect/>
        <a:stretch>
          <a:fillRect/>
        </a:stretch>
      </xdr:blipFill>
      <xdr:spPr>
        <a:xfrm>
          <a:off x="2340750" y="6115031"/>
          <a:ext cx="1676400" cy="1924050"/>
        </a:xfrm>
        <a:prstGeom prst="rect">
          <a:avLst/>
        </a:prstGeom>
        <a:noFill/>
        <a:ln w="9525" cap="flat" cmpd="sng">
          <a:solidFill>
            <a:srgbClr val="000000"/>
          </a:solidFill>
          <a:prstDash val="solid"/>
          <a:miter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Escritório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dir="t" rig="threeP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vmlDrawing" Target="../drawings/vmlDrawing1.vml"/><Relationship Id="rId3" Type="http://schemas.openxmlformats.org/officeDocument/2006/relationships/comments" Target="../comments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image" Target="../media/image5.png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drawing" Target="../drawings/drawing3.xm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image" Target="../media/image7.png"/><Relationship Id="rId2" Type="http://schemas.openxmlformats.org/officeDocument/2006/relationships/drawing" Target="../drawings/drawing4.xml"/></Relationships>
</file>

<file path=xl/worksheets/sheet1.xml><?xml version="1.0" encoding="utf-8"?>
<worksheet xmlns:r="http://schemas.openxmlformats.org/officeDocument/2006/relationships" xmlns="http://schemas.openxmlformats.org/spreadsheetml/2006/main">
  <sheetPr>
    <tabColor rgb="FF7030A0"/>
  </sheetPr>
  <dimension ref="A1:AY111"/>
  <sheetViews>
    <sheetView tabSelected="1" workbookViewId="0" showGridLines="0" showRowColHeaders="0" zoomScale="80">
      <pane xSplit="2" topLeftCell="C1" state="frozen" activePane="topRight"/>
      <selection pane="topRight" activeCell="A30" sqref="A30:C51"/>
    </sheetView>
  </sheetViews>
  <sheetFormatPr defaultRowHeight="14.25" customHeight="1" defaultColWidth="10"/>
  <cols>
    <col min="1" max="2" customWidth="1" width="11.425781" style="1"/>
    <col min="3" max="3" customWidth="1" width="1.5703125" style="1"/>
    <col min="4" max="4" customWidth="1" width="12.7109375" style="1"/>
    <col min="5" max="6" customWidth="1" width="9.285156" style="1"/>
    <col min="7" max="7" customWidth="1" width="1.5703125" style="1"/>
    <col min="8" max="8" customWidth="1" width="12.7109375" style="1"/>
    <col min="9" max="10" customWidth="1" width="9.285156" style="1"/>
    <col min="11" max="11" customWidth="1" width="1.5703125" style="1"/>
    <col min="12" max="12" customWidth="1" width="12.7109375" style="1"/>
    <col min="13" max="14" customWidth="1" width="9.285156" style="1"/>
    <col min="15" max="15" customWidth="1" width="1.5703125" style="1"/>
    <col min="16" max="16" customWidth="1" width="12.7109375" style="1"/>
    <col min="17" max="18" customWidth="1" width="9.285156" style="1"/>
    <col min="19" max="19" customWidth="1" width="1.5703125" style="1"/>
    <col min="20" max="20" customWidth="1" width="12.0" style="1"/>
    <col min="21" max="22" customWidth="1" width="9.285156" style="1"/>
    <col min="23" max="23" customWidth="1" width="9.140625" style="1"/>
    <col min="24" max="16384" customWidth="0" width="9.140625" style="1"/>
  </cols>
  <sheetData>
    <row r="1" spans="8:8" ht="14.25" customHeight="1">
      <c r="A1" s="2" t="s">
        <v>356</v>
      </c>
      <c r="B1" s="3">
        <v>261.88</v>
      </c>
      <c r="C1" s="4"/>
      <c r="D1" s="5" t="s">
        <v>191</v>
      </c>
      <c r="E1" s="6" t="s">
        <v>363</v>
      </c>
      <c r="F1" s="6" t="s">
        <v>364</v>
      </c>
      <c r="H1" s="7" t="s">
        <v>127</v>
      </c>
      <c r="I1" s="6" t="s">
        <v>363</v>
      </c>
      <c r="J1" s="6" t="s">
        <v>364</v>
      </c>
      <c r="L1" s="8" t="s">
        <v>264</v>
      </c>
      <c r="M1" s="8"/>
      <c r="N1" s="8"/>
      <c r="P1" s="8" t="s">
        <v>265</v>
      </c>
      <c r="Q1" s="8"/>
      <c r="R1" s="8"/>
      <c r="T1" s="9" t="s">
        <v>127</v>
      </c>
      <c r="U1" s="9" t="s">
        <v>0</v>
      </c>
      <c r="V1" s="9" t="s">
        <v>1</v>
      </c>
    </row>
    <row r="2" spans="8:8" ht="14.25" customHeight="1">
      <c r="A2" s="10" t="s">
        <v>357</v>
      </c>
      <c r="B2" s="11">
        <v>0.95</v>
      </c>
      <c r="C2" s="4"/>
      <c r="D2" s="6" t="s">
        <v>443</v>
      </c>
      <c r="E2" s="12">
        <f>E3/$I$7</f>
        <v>3.3550748967357684</v>
      </c>
      <c r="F2" s="13">
        <f>F3/$I$7</f>
        <v>3.440511309022741</v>
      </c>
      <c r="H2" s="6" t="s">
        <v>443</v>
      </c>
      <c r="I2" s="12">
        <f>I3/$I$7</f>
        <v>5.455810933748498</v>
      </c>
      <c r="J2" s="13">
        <f>J3/$I$7</f>
        <v>5.689475861105012</v>
      </c>
      <c r="L2" s="14" t="str">
        <f>"-3.44m"</f>
        <v>-3.44m</v>
      </c>
      <c r="M2" s="15" t="s">
        <v>169</v>
      </c>
      <c r="N2" s="15" t="s">
        <v>170</v>
      </c>
      <c r="P2" s="14" t="str">
        <f>"-17.40m"</f>
        <v>-17.40m</v>
      </c>
      <c r="Q2" s="15" t="s">
        <v>169</v>
      </c>
      <c r="R2" s="15" t="s">
        <v>170</v>
      </c>
      <c r="T2" s="9" t="s">
        <v>169</v>
      </c>
      <c r="U2" s="16">
        <f>IF(I3&gt;36.11,ROUND(286/2-((I3-24)*286/40),1),IF(I3&gt;28.11,ROUND(286/2-((I3-16)*286/40),1),IF(I3&gt;18.11,ROUND(286/2-((I3-12)*286/40),1),ROUND(286/2-(I3*286/40),1))))</f>
        <v>72.8</v>
      </c>
      <c r="V2" s="16">
        <f>IF(J3&gt;36.11,ROUND(286/2-((J3-24)*286/40),1),IF(J3&gt;28.11,ROUND(286/2-((J3-16)*286/40),1),IF(J3&gt;18.11,ROUND(286/2-((J3-12)*286/40),1),ROUND(286/2-(J3*286/40),1))))</f>
        <v>66.1</v>
      </c>
    </row>
    <row r="3" spans="8:8" ht="14.25" customHeight="1">
      <c r="A3" s="2" t="s">
        <v>358</v>
      </c>
      <c r="B3" s="17">
        <v>5.0</v>
      </c>
      <c r="C3" s="4"/>
      <c r="D3" s="18" t="s">
        <v>2</v>
      </c>
      <c r="E3" s="19">
        <f>CC!G15*$E$7/B8</f>
        <v>13.420299586943074</v>
      </c>
      <c r="F3" s="20">
        <f>CC!G16*$E$7/B8</f>
        <v>13.762045236090964</v>
      </c>
      <c r="H3" s="18" t="s">
        <v>2</v>
      </c>
      <c r="I3" s="19">
        <f>DUNK_1W!G19*$E$7/B8</f>
        <v>21.82324373499399</v>
      </c>
      <c r="J3" s="20">
        <f>DUNK_1W!G20*$E$7/B8</f>
        <v>22.757903444420048</v>
      </c>
      <c r="L3" s="21" t="s">
        <v>2</v>
      </c>
      <c r="M3" s="22">
        <f>SpeciaL_Holes!D10</f>
        <v>34.5809284933551</v>
      </c>
      <c r="N3" s="23">
        <f>SpeciaL_Holes!E10</f>
        <v>34.5809284933551</v>
      </c>
      <c r="P3" s="21" t="s">
        <v>2</v>
      </c>
      <c r="Q3" s="22"/>
      <c r="R3" s="23"/>
      <c r="T3" s="24" t="s">
        <v>170</v>
      </c>
      <c r="U3" s="25">
        <f>IF(I3&gt;36.11,ROUND(286/2+((I3-24)*286/40),1),IF(I3&gt;28.11,ROUND(286/2+((I3-16)*286/40),1),IF(I3&gt;20.11,ROUND(286/2+((I3-12)*286/40),1),ROUND(286/2+(I3*286/40),1))))</f>
        <v>213.2</v>
      </c>
      <c r="V3" s="16">
        <f>IF(J3&gt;36.11,ROUND(286/2+((J3-24)*286/40),1),IF(J3&gt;28.11,ROUND(286/2+((J3-16)*286/40),1),IF(J3&gt;20.11,ROUND(286/2+((J3-12)*286/40),1),ROUND(286/2+(J3*286/40),1))))</f>
        <v>219.9</v>
      </c>
    </row>
    <row r="4" spans="8:8" ht="14.25" customHeight="1">
      <c r="A4" s="10" t="s">
        <v>359</v>
      </c>
      <c r="B4" s="26">
        <v>59.89</v>
      </c>
      <c r="C4" s="4"/>
      <c r="D4" s="6" t="s">
        <v>3</v>
      </c>
      <c r="E4" s="12">
        <f>CC!F15</f>
        <v>86.58802779491961</v>
      </c>
      <c r="F4" s="13">
        <f>CC!F16</f>
        <v>87.74413581984116</v>
      </c>
      <c r="H4" s="6" t="s">
        <v>3</v>
      </c>
      <c r="I4" s="27">
        <f>DUNK_1W!F19</f>
        <v>101.0421999716167</v>
      </c>
      <c r="J4" s="28">
        <f>DUNK_1W!F20</f>
        <v>102.732689339786</v>
      </c>
      <c r="L4" s="15" t="s">
        <v>443</v>
      </c>
      <c r="M4" s="29">
        <f>M5/$I$7</f>
        <v>77.78333333333899</v>
      </c>
      <c r="N4" s="30" t="e">
        <f>N5/$I$7</f>
        <v>#N/A</v>
      </c>
      <c r="P4" s="15" t="s">
        <v>443</v>
      </c>
      <c r="Q4" s="29">
        <f>Q5/$I$7</f>
        <v>0.0</v>
      </c>
      <c r="R4" s="30">
        <f>R5/$I$7</f>
        <v>0.0</v>
      </c>
    </row>
    <row r="5" spans="8:8" ht="14.25" customHeight="1">
      <c r="A5" s="31" t="s">
        <v>360</v>
      </c>
      <c r="B5" s="17">
        <v>0.0</v>
      </c>
      <c r="C5" s="4"/>
      <c r="D5" s="32" t="s">
        <v>24</v>
      </c>
      <c r="E5" s="33">
        <f>CC!E15</f>
        <v>261.7333333333521</v>
      </c>
      <c r="F5" s="34">
        <f>CC!E16</f>
        <v>265.0888888889079</v>
      </c>
      <c r="H5" s="32" t="s">
        <v>24</v>
      </c>
      <c r="I5" s="33" t="e">
        <f>DUNK_1W!E19</f>
        <v>#REF!</v>
      </c>
      <c r="J5" s="34" t="e">
        <f>DUNK_1W!E20</f>
        <v>#REF!</v>
      </c>
      <c r="L5" s="35" t="s">
        <v>276</v>
      </c>
      <c r="M5" s="36">
        <f>SpeciaL_Holes!D12</f>
        <v>311.13333333335595</v>
      </c>
      <c r="N5" s="37" t="e">
        <f>SpeciaL_Holes!E12</f>
        <v>#N/A</v>
      </c>
      <c r="P5" s="35" t="s">
        <v>276</v>
      </c>
      <c r="Q5" s="36"/>
      <c r="R5" s="37"/>
    </row>
    <row r="6" spans="8:8" ht="14.25" customHeight="1">
      <c r="A6" s="31" t="s">
        <v>361</v>
      </c>
      <c r="B6" s="38">
        <v>0.0</v>
      </c>
      <c r="C6" s="4"/>
      <c r="D6" s="39" t="s">
        <v>19</v>
      </c>
      <c r="E6" s="40">
        <v>7.0</v>
      </c>
      <c r="F6" s="40">
        <v>7.0</v>
      </c>
      <c r="H6" s="39" t="s">
        <v>19</v>
      </c>
      <c r="I6" s="41">
        <f>DUNK_1W!H19</f>
        <v>11.0</v>
      </c>
      <c r="J6" s="41">
        <f>DUNK_1W!H20</f>
        <v>11.0</v>
      </c>
      <c r="L6" s="42" t="s">
        <v>262</v>
      </c>
      <c r="M6" s="42"/>
      <c r="N6" s="42"/>
      <c r="P6" s="42" t="s">
        <v>262</v>
      </c>
      <c r="Q6" s="42"/>
      <c r="R6" s="42"/>
    </row>
    <row r="7" spans="8:8" ht="14.25" customHeight="1">
      <c r="A7" s="43" t="s">
        <v>141</v>
      </c>
      <c r="B7" s="44">
        <v>1.0</v>
      </c>
      <c r="C7" s="4"/>
      <c r="D7" s="45" t="s">
        <v>355</v>
      </c>
      <c r="E7" s="46">
        <v>1.0</v>
      </c>
      <c r="F7" s="46"/>
      <c r="H7" s="47" t="s">
        <v>444</v>
      </c>
      <c r="I7" s="48">
        <v>4.0</v>
      </c>
      <c r="J7" s="48"/>
      <c r="L7" s="49" t="s">
        <v>362</v>
      </c>
      <c r="M7" s="49"/>
      <c r="N7" s="49"/>
      <c r="O7" s="49"/>
      <c r="P7" s="49"/>
      <c r="Q7" s="49"/>
      <c r="R7" s="49"/>
    </row>
    <row r="8" spans="8:8" ht="14.25" customHeight="1">
      <c r="A8" s="50" t="s">
        <v>370</v>
      </c>
      <c r="B8" s="51">
        <v>0.218</v>
      </c>
      <c r="C8" s="4"/>
      <c r="D8" s="45"/>
      <c r="E8" s="46"/>
      <c r="F8" s="46"/>
      <c r="H8" s="47"/>
      <c r="I8" s="48"/>
      <c r="J8" s="48"/>
      <c r="L8" s="49"/>
      <c r="M8" s="49"/>
      <c r="N8" s="49"/>
      <c r="O8" s="49"/>
      <c r="P8" s="49"/>
      <c r="Q8" s="49"/>
      <c r="R8" s="49"/>
    </row>
    <row r="9" spans="8:8" ht="14.25" customHeight="1">
      <c r="C9" s="4"/>
      <c r="D9" s="5" t="s">
        <v>131</v>
      </c>
      <c r="E9" s="6" t="s">
        <v>363</v>
      </c>
      <c r="F9" s="6" t="s">
        <v>364</v>
      </c>
      <c r="H9" s="52" t="s">
        <v>128</v>
      </c>
      <c r="I9" s="53" t="s">
        <v>363</v>
      </c>
      <c r="J9" s="53" t="s">
        <v>364</v>
      </c>
      <c r="L9" s="54" t="s">
        <v>263</v>
      </c>
      <c r="M9" s="54"/>
      <c r="N9" s="54"/>
      <c r="O9" s="4"/>
      <c r="P9" s="54" t="s">
        <v>267</v>
      </c>
      <c r="Q9" s="54"/>
      <c r="R9" s="54"/>
    </row>
    <row r="10" spans="8:8" ht="14.25" customHeight="1">
      <c r="A10" s="55" t="s">
        <v>4</v>
      </c>
      <c r="B10" s="56">
        <v>140.0</v>
      </c>
      <c r="C10" s="4"/>
      <c r="D10" s="6" t="s">
        <v>443</v>
      </c>
      <c r="E10" s="12">
        <f>E11/$I$7</f>
        <v>4.236420327330218</v>
      </c>
      <c r="F10" s="13">
        <f>F11/$I$7</f>
        <v>4.375920938645321</v>
      </c>
      <c r="H10" s="6" t="s">
        <v>443</v>
      </c>
      <c r="I10" s="12">
        <f>I11/$I$7</f>
        <v>7.241359796674622</v>
      </c>
      <c r="J10" s="13">
        <f>J11/$I$7</f>
        <v>7.6631717322533595</v>
      </c>
      <c r="L10" s="14" t="str">
        <f>"-8.82m"</f>
        <v>-8.82m</v>
      </c>
      <c r="M10" s="15" t="s">
        <v>169</v>
      </c>
      <c r="N10" s="15" t="s">
        <v>170</v>
      </c>
      <c r="O10" s="4"/>
      <c r="P10" s="14" t="str">
        <f>IF(B1=347,"-9.60m",IF(B1=346,"-9.45m","-9.55m"))</f>
        <v>-9.55m</v>
      </c>
      <c r="Q10" s="15" t="s">
        <v>169</v>
      </c>
      <c r="R10" s="15" t="s">
        <v>170</v>
      </c>
    </row>
    <row r="11" spans="8:8" ht="14.25" customHeight="1">
      <c r="A11" s="57">
        <f>('6I'!$H$17)*$E$7/B8</f>
        <v>32.6156660597267</v>
      </c>
      <c r="B11" s="58">
        <f>('6I'!$V$17)*$E$7/B8</f>
        <v>32.6156660597267</v>
      </c>
      <c r="C11" s="4"/>
      <c r="D11" s="18" t="s">
        <v>2</v>
      </c>
      <c r="E11" s="19">
        <f>CC!G51*$E$7/B8</f>
        <v>16.94568130932087</v>
      </c>
      <c r="F11" s="20">
        <f>CC!G52*$E$7/B8</f>
        <v>17.503683754581285</v>
      </c>
      <c r="H11" s="18" t="s">
        <v>2</v>
      </c>
      <c r="I11" s="59">
        <f>CC!G87*$E$7/B8</f>
        <v>28.96543918669849</v>
      </c>
      <c r="J11" s="60">
        <f>CC!G88*$E$7/B8</f>
        <v>30.652686929013438</v>
      </c>
      <c r="L11" s="21" t="s">
        <v>2</v>
      </c>
      <c r="M11" s="22">
        <f>SpeciaL_Holes!D23</f>
        <v>33.8845520721631</v>
      </c>
      <c r="N11" s="23">
        <f>SpeciaL_Holes!E23</f>
        <v>33.8845520721631</v>
      </c>
      <c r="O11" s="4"/>
      <c r="P11" s="21" t="s">
        <v>2</v>
      </c>
      <c r="Q11" s="22"/>
      <c r="R11" s="23"/>
    </row>
    <row r="12" spans="8:8" ht="14.25" customHeight="1">
      <c r="A12" s="61">
        <f>'6I'!$I$18</f>
        <v>100.0</v>
      </c>
      <c r="B12" s="62">
        <f>'6I'!$W$18</f>
        <v>100.0</v>
      </c>
      <c r="C12" s="4"/>
      <c r="D12" s="6" t="s">
        <v>3</v>
      </c>
      <c r="E12" s="12">
        <f>CC!F51</f>
        <v>90.14316077894779</v>
      </c>
      <c r="F12" s="13">
        <f>CC!F52</f>
        <v>91.73832980596794</v>
      </c>
      <c r="H12" s="6" t="s">
        <v>3</v>
      </c>
      <c r="I12" s="12">
        <f>CC!F87</f>
        <v>107.2244910744035</v>
      </c>
      <c r="J12" s="13">
        <f>CC!F88</f>
        <v>111.289397902872</v>
      </c>
      <c r="L12" s="15" t="s">
        <v>443</v>
      </c>
      <c r="M12" s="29">
        <f>M13/$I$7</f>
        <v>0.0</v>
      </c>
      <c r="N12" s="30">
        <f>N13/$I$7</f>
        <v>0.0</v>
      </c>
      <c r="O12" s="4"/>
      <c r="P12" s="15" t="s">
        <v>443</v>
      </c>
      <c r="Q12" s="29">
        <f>Q13/$I$7</f>
        <v>0.0</v>
      </c>
      <c r="R12" s="30">
        <f>R13/$I$7</f>
        <v>0.0</v>
      </c>
    </row>
    <row r="13" spans="8:8" ht="14.25" customHeight="1">
      <c r="A13" s="63" t="e">
        <f>'6I'!I19</f>
        <v>#REF!</v>
      </c>
      <c r="B13" s="64" t="e">
        <f>'6I'!W19</f>
        <v>#REF!</v>
      </c>
      <c r="C13" s="4"/>
      <c r="D13" s="32" t="s">
        <v>24</v>
      </c>
      <c r="E13" s="33">
        <f>CC!E51</f>
        <v>254.58333333334465</v>
      </c>
      <c r="F13" s="34">
        <f>CC!E52</f>
        <v>259.2833333333426</v>
      </c>
      <c r="H13" s="32" t="s">
        <v>24</v>
      </c>
      <c r="I13" s="33" t="e">
        <f>CC!E87</f>
        <v>#REF!</v>
      </c>
      <c r="J13" s="34" t="e">
        <f>CC!E88</f>
        <v>#REF!</v>
      </c>
      <c r="L13" s="35" t="s">
        <v>276</v>
      </c>
      <c r="M13" s="36" t="b">
        <f>SpeciaL_Holes!D25</f>
        <v>0</v>
      </c>
      <c r="N13" s="37" t="b">
        <f>SpeciaL_Holes!E25</f>
        <v>0</v>
      </c>
      <c r="O13" s="4"/>
      <c r="P13" s="35" t="s">
        <v>276</v>
      </c>
      <c r="Q13" s="36"/>
      <c r="R13" s="37"/>
    </row>
    <row r="14" spans="8:8" ht="14.25" customHeight="1">
      <c r="D14" s="39" t="s">
        <v>19</v>
      </c>
      <c r="E14" s="40">
        <v>7.0</v>
      </c>
      <c r="F14" s="40">
        <v>7.0</v>
      </c>
      <c r="H14" s="39" t="s">
        <v>19</v>
      </c>
      <c r="I14" s="40">
        <f>CC!H87</f>
        <v>11.0</v>
      </c>
      <c r="J14" s="40">
        <f>CC!H88</f>
        <v>10.0</v>
      </c>
      <c r="L14" s="65" t="s">
        <v>268</v>
      </c>
      <c r="M14" s="65"/>
      <c r="N14" s="65"/>
      <c r="O14" s="4"/>
      <c r="P14" s="65" t="str">
        <f>IF(E7=341,"Power Spike Backspin 30","Spike Backspin 30")</f>
        <v>Spike Backspin 30</v>
      </c>
      <c r="Q14" s="65"/>
      <c r="R14" s="65"/>
    </row>
    <row r="15" spans="8:8" ht="14.25" customHeight="1"/>
    <row r="16" spans="8:8" ht="14.25" customHeight="1">
      <c r="A16" s="66" t="s">
        <v>193</v>
      </c>
      <c r="B16" s="66"/>
      <c r="C16" s="4"/>
      <c r="D16" s="5" t="s">
        <v>132</v>
      </c>
      <c r="E16" s="6" t="s">
        <v>363</v>
      </c>
      <c r="F16" s="6" t="s">
        <v>364</v>
      </c>
      <c r="H16" s="7" t="s">
        <v>129</v>
      </c>
      <c r="I16" s="6" t="s">
        <v>363</v>
      </c>
      <c r="J16" s="6" t="s">
        <v>364</v>
      </c>
      <c r="L16" s="67" t="s">
        <v>316</v>
      </c>
      <c r="M16" s="67"/>
      <c r="N16" s="67"/>
    </row>
    <row r="17" spans="8:8" ht="14.25" customHeight="1">
      <c r="A17" s="12">
        <f>A18/$I$7</f>
        <v>6.53909351795867</v>
      </c>
      <c r="B17" s="13">
        <f>B18/$I$7</f>
        <v>6.53909351795867</v>
      </c>
      <c r="C17" s="4"/>
      <c r="D17" s="6" t="s">
        <v>443</v>
      </c>
      <c r="E17" s="12">
        <f>E18/$I$7</f>
        <v>5.2177400746704015</v>
      </c>
      <c r="F17" s="13">
        <f>F18/$I$7</f>
        <v>5.431803799174496</v>
      </c>
      <c r="H17" s="6" t="s">
        <v>443</v>
      </c>
      <c r="I17" s="12">
        <f>I18/$I$7</f>
        <v>19.563854964590597</v>
      </c>
      <c r="J17" s="13">
        <f>J18/$I$7</f>
        <v>23.08403449162741</v>
      </c>
      <c r="L17" s="14" t="s">
        <v>129</v>
      </c>
      <c r="M17" s="68" t="s">
        <v>169</v>
      </c>
      <c r="N17" s="68" t="s">
        <v>170</v>
      </c>
    </row>
    <row r="18" spans="8:8" ht="14.25" customHeight="1">
      <c r="A18" s="19">
        <f>CC!G242*$E$7/B8</f>
        <v>26.15637407183468</v>
      </c>
      <c r="B18" s="20">
        <f>CC!G243*$E$7/B8</f>
        <v>26.15637407183468</v>
      </c>
      <c r="C18" s="4"/>
      <c r="D18" s="18" t="s">
        <v>2</v>
      </c>
      <c r="E18" s="19">
        <f>CC!G69*$E$7/B8</f>
        <v>20.870960298681606</v>
      </c>
      <c r="F18" s="20">
        <f>CC!G70*$E$7/B8</f>
        <v>21.727215196697983</v>
      </c>
      <c r="H18" s="18" t="s">
        <v>2</v>
      </c>
      <c r="I18" s="59">
        <f>CC!G105*$E$7/B8</f>
        <v>78.25541985836239</v>
      </c>
      <c r="J18" s="60">
        <f>CC!G106*$E$7/B8</f>
        <v>92.33613796650964</v>
      </c>
      <c r="K18" s="4"/>
      <c r="L18" s="21" t="s">
        <v>2</v>
      </c>
      <c r="M18" s="22">
        <f>SpeciaL_Holes!D62</f>
        <v>27.053005745874902</v>
      </c>
      <c r="N18" s="23">
        <f>SpeciaL_Holes!E62</f>
        <v>27.2730057458749</v>
      </c>
    </row>
    <row r="19" spans="8:8" ht="14.25" customHeight="1">
      <c r="A19" s="69">
        <f>CC!F242</f>
        <v>80.9667893791585</v>
      </c>
      <c r="B19" s="70">
        <f>CC!F243</f>
        <v>83.50493046367696</v>
      </c>
      <c r="C19" s="4"/>
      <c r="D19" s="6" t="s">
        <v>3</v>
      </c>
      <c r="E19" s="12">
        <f>CC!F69</f>
        <v>94.70771929769231</v>
      </c>
      <c r="F19" s="13">
        <f>CC!F70</f>
        <v>96.7813815729992</v>
      </c>
      <c r="H19" s="6" t="s">
        <v>3</v>
      </c>
      <c r="I19" s="12">
        <f>CC!F105</f>
        <v>112.41079306711106</v>
      </c>
      <c r="J19" s="13">
        <f>CC!F106</f>
        <v>130.2987754053097</v>
      </c>
      <c r="K19" s="4"/>
      <c r="L19" s="15" t="s">
        <v>443</v>
      </c>
      <c r="M19" s="29">
        <f>M20/$I$7</f>
        <v>52.44583333333767</v>
      </c>
      <c r="N19" s="30">
        <f>N20/$I$7</f>
        <v>55.179166666669666</v>
      </c>
    </row>
    <row r="20" spans="8:8" ht="14.25" customHeight="1">
      <c r="A20" s="33">
        <f>CC!E242</f>
        <v>244.95555555557297</v>
      </c>
      <c r="B20" s="34">
        <f>CC!E243</f>
        <v>252.50555555557358</v>
      </c>
      <c r="C20" s="4"/>
      <c r="D20" s="32" t="s">
        <v>24</v>
      </c>
      <c r="E20" s="33">
        <f>CC!E69</f>
        <v>248.1722222222182</v>
      </c>
      <c r="F20" s="34">
        <f>CC!E70</f>
        <v>253.99444444444222</v>
      </c>
      <c r="G20" s="4"/>
      <c r="H20" s="32" t="s">
        <v>24</v>
      </c>
      <c r="I20" s="33" t="e">
        <f>CC!E105</f>
        <v>#REF!</v>
      </c>
      <c r="J20" s="34" t="e">
        <f>CC!E106</f>
        <v>#REF!</v>
      </c>
      <c r="K20" s="4"/>
      <c r="L20" s="35" t="s">
        <v>276</v>
      </c>
      <c r="M20" s="36">
        <f>SpeciaL_Holes!D64</f>
        <v>209.78333333335067</v>
      </c>
      <c r="N20" s="37">
        <f>SpeciaL_Holes!E64</f>
        <v>220.71666666667866</v>
      </c>
    </row>
    <row r="21" spans="8:8" ht="14.25" customHeight="1">
      <c r="A21" s="40">
        <v>7.0</v>
      </c>
      <c r="B21" s="40">
        <v>7.0</v>
      </c>
      <c r="D21" s="39" t="s">
        <v>19</v>
      </c>
      <c r="E21" s="40">
        <v>7.0</v>
      </c>
      <c r="F21" s="40">
        <v>7.0</v>
      </c>
      <c r="G21" s="4"/>
      <c r="H21" s="39" t="s">
        <v>19</v>
      </c>
      <c r="I21" s="41">
        <f>CC!H105</f>
        <v>10.0</v>
      </c>
      <c r="J21" s="41">
        <f>CC!H106</f>
        <v>11.0</v>
      </c>
      <c r="K21" s="4"/>
      <c r="L21" s="15" t="s">
        <v>19</v>
      </c>
      <c r="M21" s="71">
        <f>SpeciaL_Holes!D65</f>
        <v>10.0</v>
      </c>
      <c r="N21" s="71">
        <f>SpeciaL_Holes!E65</f>
        <v>11.0</v>
      </c>
    </row>
    <row r="22" spans="8:8" ht="14.25" customHeight="1">
      <c r="G22" s="4"/>
      <c r="H22" s="72"/>
      <c r="I22" s="72"/>
      <c r="J22" s="72"/>
      <c r="K22" s="4"/>
    </row>
    <row r="23" spans="8:8" ht="14.25" customHeight="1">
      <c r="A23" s="73" t="s">
        <v>261</v>
      </c>
      <c r="B23" s="73"/>
      <c r="C23" s="4"/>
      <c r="D23" s="74" t="s">
        <v>352</v>
      </c>
      <c r="E23" s="6" t="s">
        <v>363</v>
      </c>
      <c r="F23" s="6" t="s">
        <v>364</v>
      </c>
      <c r="G23" s="4"/>
      <c r="H23" s="75" t="s">
        <v>255</v>
      </c>
      <c r="I23" s="6" t="s">
        <v>363</v>
      </c>
      <c r="J23" s="6" t="s">
        <v>364</v>
      </c>
      <c r="K23" s="4"/>
      <c r="L23" s="8" t="s">
        <v>266</v>
      </c>
      <c r="M23" s="8"/>
      <c r="N23" s="8"/>
    </row>
    <row r="24" spans="8:8" ht="14.25" customHeight="1">
      <c r="A24" s="12">
        <f>A25/4</f>
        <v>5.863666873523154</v>
      </c>
      <c r="B24" s="13">
        <f>B25/4</f>
        <v>6.133379465734243</v>
      </c>
      <c r="C24" s="4"/>
      <c r="D24" s="6" t="s">
        <v>443</v>
      </c>
      <c r="E24" s="12">
        <f>E25/$I$7</f>
        <v>0.0</v>
      </c>
      <c r="F24" s="13">
        <f>F25/$I$7</f>
        <v>0.0</v>
      </c>
      <c r="G24" s="4"/>
      <c r="H24" s="6" t="s">
        <v>443</v>
      </c>
      <c r="I24" s="12">
        <f>I25/$I$7</f>
        <v>5.745596832990011</v>
      </c>
      <c r="J24" s="13">
        <f>J25/$I$7</f>
        <v>6.004424605371709</v>
      </c>
      <c r="K24" s="4"/>
      <c r="L24" s="14" t="str">
        <f>"-12.80m"</f>
        <v>-12.80m</v>
      </c>
      <c r="M24" s="15" t="s">
        <v>169</v>
      </c>
      <c r="N24" s="15" t="s">
        <v>170</v>
      </c>
      <c r="AD24" s="76"/>
    </row>
    <row r="25" spans="8:8" ht="14.25" customHeight="1">
      <c r="A25" s="77">
        <f>CC!G33*$E$7/B8</f>
        <v>23.454667494092615</v>
      </c>
      <c r="B25" s="78">
        <f>CC!G34*$E$7/B8</f>
        <v>24.53351786293697</v>
      </c>
      <c r="C25" s="4"/>
      <c r="D25" s="18" t="s">
        <v>2</v>
      </c>
      <c r="E25" s="77" t="b">
        <f>IF(E4&gt;95,E3*0.91)</f>
        <v>0</v>
      </c>
      <c r="F25" s="78" t="b">
        <f>IF(E4&gt;95,F3*0.91)</f>
        <v>0</v>
      </c>
      <c r="G25" s="4"/>
      <c r="H25" s="18" t="s">
        <v>2</v>
      </c>
      <c r="I25" s="19">
        <f>IF($B$2&gt;0.12,CC!A121*$E$7/$B$8,CC!H143)</f>
        <v>22.982387331960044</v>
      </c>
      <c r="J25" s="20">
        <f>IF($B$2&gt;0.12,CC!B121*$E$7/$B$8,CC!I143)</f>
        <v>24.017698421486838</v>
      </c>
      <c r="K25" s="4"/>
      <c r="L25" s="21" t="s">
        <v>2</v>
      </c>
      <c r="M25" s="22">
        <f>SpeciaL_Holes!D36</f>
        <v>36.3975626355952</v>
      </c>
      <c r="N25" s="23">
        <f>SpeciaL_Holes!E36</f>
        <v>36.3975626355952</v>
      </c>
    </row>
    <row r="26" spans="8:8" ht="14.25" customHeight="1">
      <c r="A26" s="79">
        <f>CC!F33</f>
        <v>96.74733254252867</v>
      </c>
      <c r="B26" s="80">
        <f>CC!F34</f>
        <v>98.7029169609678</v>
      </c>
      <c r="C26" s="4"/>
      <c r="D26" s="6" t="s">
        <v>3</v>
      </c>
      <c r="E26" s="79" t="b">
        <f>IF(E4&gt;95,E4-2.11)</f>
        <v>0</v>
      </c>
      <c r="F26" s="80" t="b">
        <f>IF(E4&gt;95,F4-2.11)</f>
        <v>0</v>
      </c>
      <c r="G26" s="4"/>
      <c r="H26" s="6" t="s">
        <v>3</v>
      </c>
      <c r="I26" s="27">
        <f>IF($B$2&gt;0.12,CC!A122,CC!H144)</f>
        <v>97.36934239176942</v>
      </c>
      <c r="J26" s="28">
        <f>IF($B$2&gt;0.12,CC!B122,CC!I144)</f>
        <v>99.18660372998016</v>
      </c>
      <c r="K26" s="4"/>
      <c r="L26" s="15" t="s">
        <v>443</v>
      </c>
      <c r="M26" s="29">
        <f>M27/$I$7</f>
        <v>0.0</v>
      </c>
      <c r="N26" s="30">
        <f>N27/$I$7</f>
        <v>0.0</v>
      </c>
    </row>
    <row r="27" spans="8:8" ht="14.25" customHeight="1">
      <c r="A27" s="81">
        <f>CC!E33</f>
        <v>277.2611111111312</v>
      </c>
      <c r="B27" s="82">
        <f>CC!E34</f>
        <v>282.8222222222428</v>
      </c>
      <c r="C27" s="4"/>
      <c r="D27" s="32" t="s">
        <v>24</v>
      </c>
      <c r="E27" s="81" t="e">
        <f>INDEX(Caliper!$G$291:$G$363,(ROUNDUP(((E26-80)/(20/72))+1,0)),1)</f>
        <v>#VALUE!</v>
      </c>
      <c r="F27" s="82" t="e">
        <f>INDEX(Caliper!$G$291:$G$363,(ROUNDUP(((F26-80)/(20/72))+1,0)),1)</f>
        <v>#VALUE!</v>
      </c>
      <c r="G27" s="4"/>
      <c r="H27" s="32" t="s">
        <v>24</v>
      </c>
      <c r="I27" s="33">
        <f>IF($B$2&gt;0.12,CC!A123,CC!H145)</f>
        <v>278.85</v>
      </c>
      <c r="J27" s="34">
        <f>IF($B$2&gt;0.12,CC!B123,CC!I145)</f>
        <v>284.4111111111111</v>
      </c>
      <c r="K27" s="4"/>
      <c r="L27" s="35" t="s">
        <v>276</v>
      </c>
      <c r="M27" s="36" t="b">
        <f>SpeciaL_Holes!D38</f>
        <v>0</v>
      </c>
      <c r="N27" s="37" t="b">
        <f>SpeciaL_Holes!E38</f>
        <v>0</v>
      </c>
    </row>
    <row r="28" spans="8:8" ht="14.25" customHeight="1">
      <c r="A28" s="83">
        <f>CC!H33</f>
        <v>8.0</v>
      </c>
      <c r="B28" s="83">
        <f>CC!H34</f>
        <v>8.0</v>
      </c>
      <c r="C28" s="84"/>
      <c r="D28" s="39" t="s">
        <v>19</v>
      </c>
      <c r="E28" s="40">
        <v>7.0</v>
      </c>
      <c r="F28" s="40">
        <v>7.0</v>
      </c>
      <c r="G28" s="4"/>
      <c r="H28" s="39" t="s">
        <v>19</v>
      </c>
      <c r="I28" s="85">
        <f>IF($B$2&gt;0.12,CC!A124,CC!H146)</f>
        <v>29.348682333646924</v>
      </c>
      <c r="J28" s="85">
        <f>IF($B$2&gt;0.12,CC!B124,CC!I146)</f>
        <v>28.75421411079315</v>
      </c>
      <c r="K28" s="4"/>
      <c r="L28" s="65" t="s">
        <v>262</v>
      </c>
      <c r="M28" s="65"/>
      <c r="N28" s="65"/>
    </row>
    <row r="29" spans="8:8" ht="14.25" customHeight="1">
      <c r="E29" s="86"/>
      <c r="F29" s="86"/>
      <c r="G29" s="4"/>
      <c r="H29" s="72"/>
      <c r="I29" s="72"/>
      <c r="J29" s="72"/>
    </row>
    <row r="30" spans="8:8" ht="14.25" customHeight="1">
      <c r="A30" s="87"/>
      <c r="B30" s="88"/>
      <c r="C30" s="4"/>
      <c r="D30" s="74" t="s">
        <v>219</v>
      </c>
      <c r="E30" s="6" t="s">
        <v>363</v>
      </c>
      <c r="F30" s="6" t="s">
        <v>364</v>
      </c>
      <c r="H30" s="75" t="s">
        <v>254</v>
      </c>
      <c r="I30" s="6" t="s">
        <v>363</v>
      </c>
      <c r="J30" s="6" t="s">
        <v>364</v>
      </c>
      <c r="L30" s="8" t="s">
        <v>319</v>
      </c>
      <c r="M30" s="8"/>
      <c r="N30" s="8"/>
    </row>
    <row r="31" spans="8:8" ht="14.25" customHeight="1">
      <c r="A31" s="89"/>
      <c r="B31" s="90"/>
      <c r="C31" s="4"/>
      <c r="D31" s="6" t="s">
        <v>443</v>
      </c>
      <c r="E31" s="12">
        <f>E32/$I$7</f>
        <v>-4.4454634916334514</v>
      </c>
      <c r="F31" s="13">
        <f>F32/$I$7</f>
        <v>-4.305101405850596</v>
      </c>
      <c r="H31" s="6" t="s">
        <v>443</v>
      </c>
      <c r="I31" s="12">
        <f>I32/$I$7</f>
        <v>5.11729503435984</v>
      </c>
      <c r="J31" s="13">
        <f>J32/$I$7</f>
        <v>5.321834842209083</v>
      </c>
      <c r="L31" s="14" t="str">
        <f>IF(B1=341,"-5.00m","-4.93m")</f>
        <v>-4.93m</v>
      </c>
      <c r="M31" s="15" t="s">
        <v>169</v>
      </c>
      <c r="N31" s="15" t="s">
        <v>170</v>
      </c>
    </row>
    <row r="32" spans="8:8" ht="14.25" customHeight="1">
      <c r="A32" s="89"/>
      <c r="B32" s="91"/>
      <c r="C32" s="4"/>
      <c r="D32" s="18" t="s">
        <v>2</v>
      </c>
      <c r="E32" s="77">
        <f>CC!G278*$E$7/B8</f>
        <v>-17.781853966533806</v>
      </c>
      <c r="F32" s="78">
        <f>CC!G279*$E$7/B8</f>
        <v>-17.220405623402385</v>
      </c>
      <c r="H32" s="18" t="s">
        <v>2</v>
      </c>
      <c r="I32" s="59">
        <f>CC!G188*$E$7/B8</f>
        <v>20.46918013743936</v>
      </c>
      <c r="J32" s="60">
        <f>CC!G189*$E$7/B8</f>
        <v>21.28733936883633</v>
      </c>
      <c r="K32" s="76"/>
      <c r="L32" s="21" t="s">
        <v>2</v>
      </c>
      <c r="M32" s="22">
        <f>SpeciaL_Holes!D49*$E$7</f>
        <v>34.610688074943695</v>
      </c>
      <c r="N32" s="23">
        <f>SpeciaL_Holes!E49</f>
        <v>34.8106880749437</v>
      </c>
    </row>
    <row r="33" spans="8:8" ht="14.25" customHeight="1">
      <c r="A33" s="92"/>
      <c r="B33" s="93"/>
      <c r="C33" s="4"/>
      <c r="D33" s="6" t="s">
        <v>3</v>
      </c>
      <c r="E33" s="79">
        <f>CC!F278</f>
        <v>83.84421880233003</v>
      </c>
      <c r="F33" s="80">
        <f>CC!F279</f>
        <v>82.28429898974991</v>
      </c>
      <c r="H33" s="6" t="s">
        <v>3</v>
      </c>
      <c r="I33" s="27">
        <f>CC!F188</f>
        <v>94.01837601341778</v>
      </c>
      <c r="J33" s="28">
        <f>CC!F189</f>
        <v>95.55231363131227</v>
      </c>
      <c r="K33" s="76"/>
      <c r="L33" s="15" t="s">
        <v>443</v>
      </c>
      <c r="M33" s="29" t="e">
        <f>M34/$I$7</f>
        <v>#REF!</v>
      </c>
      <c r="N33" s="30" t="e">
        <f>N34/$I$7</f>
        <v>#REF!</v>
      </c>
    </row>
    <row r="34" spans="8:8" ht="14.25" customHeight="1">
      <c r="A34" s="92"/>
      <c r="B34" s="94"/>
      <c r="C34" s="4"/>
      <c r="D34" s="32" t="s">
        <v>24</v>
      </c>
      <c r="E34" s="81">
        <f>CC!E278</f>
        <v>253.3444444444625</v>
      </c>
      <c r="F34" s="82">
        <f>CC!E279</f>
        <v>248.3111111111288</v>
      </c>
      <c r="H34" s="32" t="s">
        <v>24</v>
      </c>
      <c r="I34" s="33">
        <f>CC!E188</f>
        <v>284.3833333333539</v>
      </c>
      <c r="J34" s="34">
        <f>CC!E189</f>
        <v>288.5777777777987</v>
      </c>
      <c r="K34" s="4"/>
      <c r="L34" s="35" t="s">
        <v>276</v>
      </c>
      <c r="M34" s="36" t="e">
        <f>SpeciaL_Holes!D51</f>
        <v>#REF!</v>
      </c>
      <c r="N34" s="37" t="e">
        <f>SpeciaL_Holes!E51</f>
        <v>#REF!</v>
      </c>
    </row>
    <row r="35" spans="8:8" ht="14.25" customHeight="1">
      <c r="A35" s="89"/>
      <c r="B35" s="95"/>
      <c r="C35" s="72"/>
      <c r="D35" s="39" t="s">
        <v>19</v>
      </c>
      <c r="E35" s="83">
        <f>CC!H278</f>
        <v>30.0</v>
      </c>
      <c r="F35" s="83">
        <f>CC!H279</f>
        <v>30.0</v>
      </c>
      <c r="H35" s="39" t="s">
        <v>19</v>
      </c>
      <c r="I35" s="40">
        <f>CC!H188</f>
        <v>29.0</v>
      </c>
      <c r="J35" s="40">
        <f>CC!H189</f>
        <v>30.0</v>
      </c>
      <c r="K35" s="4"/>
      <c r="L35" s="65" t="str">
        <f>IF(B1=341,"Power Spike Backspin 30","Spike Backspin 30")</f>
        <v>Spike Backspin 30</v>
      </c>
      <c r="M35" s="65"/>
      <c r="N35" s="65"/>
    </row>
    <row r="36" spans="8:8" ht="14.25" customHeight="1">
      <c r="A36" s="96"/>
      <c r="B36" s="96"/>
      <c r="C36" s="4"/>
      <c r="D36" s="4"/>
      <c r="E36" s="4"/>
      <c r="F36" s="4"/>
      <c r="G36" s="4"/>
      <c r="K36" s="4"/>
      <c r="AD36" s="76"/>
    </row>
    <row r="37" spans="8:8" ht="14.25" customHeight="1">
      <c r="A37" s="97"/>
      <c r="B37" s="98"/>
      <c r="D37" s="99" t="str">
        <f>CONCATENATE("Toma2I.",B10+50+6)</f>
        <v>Toma2I.196</v>
      </c>
      <c r="E37" s="6" t="s">
        <v>363</v>
      </c>
      <c r="F37" s="6" t="s">
        <v>364</v>
      </c>
      <c r="G37" s="4"/>
      <c r="H37" s="99" t="str">
        <f>CONCATENATE("Toma4I.",B10+30+6)</f>
        <v>Toma4I.176</v>
      </c>
      <c r="I37" s="6" t="s">
        <v>363</v>
      </c>
      <c r="J37" s="6" t="s">
        <v>364</v>
      </c>
      <c r="K37" s="4"/>
    </row>
    <row r="38" spans="8:8" ht="14.25" customHeight="1">
      <c r="A38" s="89"/>
      <c r="B38" s="90"/>
      <c r="D38" s="6" t="s">
        <v>443</v>
      </c>
      <c r="E38" s="12">
        <f>E39/$I$7</f>
        <v>11.64028803616571</v>
      </c>
      <c r="F38" s="13">
        <f>F39/$I$7</f>
        <v>12.777832619980504</v>
      </c>
      <c r="G38" s="4"/>
      <c r="H38" s="6" t="s">
        <v>443</v>
      </c>
      <c r="I38" s="12">
        <f>I39/$I$7</f>
        <v>14.507687897352637</v>
      </c>
      <c r="J38" s="13">
        <f>J39/$I$7</f>
        <v>16.327618172415367</v>
      </c>
      <c r="K38" s="4"/>
    </row>
    <row r="39" spans="8:8" ht="14.25" customHeight="1">
      <c r="A39" s="89"/>
      <c r="B39" s="91"/>
      <c r="D39" s="18" t="s">
        <v>2</v>
      </c>
      <c r="E39" s="19">
        <f>CC!G206*$E$7/B8</f>
        <v>46.56115214466284</v>
      </c>
      <c r="F39" s="20">
        <f>CC!G207*$E$7/B8</f>
        <v>51.11133047992202</v>
      </c>
      <c r="G39" s="4"/>
      <c r="H39" s="18" t="s">
        <v>2</v>
      </c>
      <c r="I39" s="19">
        <f>CC!G224*$E$7/B8</f>
        <v>58.03075158941055</v>
      </c>
      <c r="J39" s="20">
        <f>CC!G225*$E$7/B8</f>
        <v>65.31047268966147</v>
      </c>
      <c r="K39" s="4"/>
    </row>
    <row r="40" spans="8:8" ht="14.25" customHeight="1">
      <c r="A40" s="92"/>
      <c r="B40" s="93"/>
      <c r="D40" s="6" t="s">
        <v>3</v>
      </c>
      <c r="E40" s="27">
        <f>CC!F206</f>
        <v>124.85480196365961</v>
      </c>
      <c r="F40" s="28">
        <f>CC!F207</f>
        <v>138.21140680785993</v>
      </c>
      <c r="G40" s="4"/>
      <c r="H40" s="6" t="s">
        <v>3</v>
      </c>
      <c r="I40" s="27">
        <f>CC!F224</f>
        <v>151.94185511787146</v>
      </c>
      <c r="J40" s="28">
        <f>CC!F225</f>
        <v>185.10119505189869</v>
      </c>
      <c r="K40" s="4"/>
    </row>
    <row r="41" spans="8:8" ht="14.25" customHeight="1">
      <c r="A41" s="92"/>
      <c r="B41" s="94"/>
      <c r="C41" s="100"/>
      <c r="D41" s="32" t="s">
        <v>24</v>
      </c>
      <c r="E41" s="33" t="e">
        <f>CC!E206</f>
        <v>#REF!</v>
      </c>
      <c r="F41" s="34" t="e">
        <f>CC!E207</f>
        <v>#REF!</v>
      </c>
      <c r="G41" s="100"/>
      <c r="H41" s="32" t="s">
        <v>24</v>
      </c>
      <c r="I41" s="33" t="e">
        <f>CC!E224</f>
        <v>#REF!</v>
      </c>
      <c r="J41" s="34" t="e">
        <f>CC!E225</f>
        <v>#REF!</v>
      </c>
      <c r="K41" s="4"/>
    </row>
    <row r="42" spans="8:8" ht="14.25" customHeight="1">
      <c r="A42" s="89"/>
      <c r="B42" s="101"/>
      <c r="K42" s="4"/>
      <c r="Z42" s="76"/>
      <c r="AA42" s="76"/>
    </row>
    <row r="43" spans="8:8" ht="14.25" customHeight="1">
      <c r="A43" s="96"/>
      <c r="B43" s="96"/>
      <c r="E43" s="102"/>
      <c r="K43" s="4"/>
      <c r="O43" s="4"/>
      <c r="Z43" s="76"/>
      <c r="AA43" s="76"/>
    </row>
    <row r="44" spans="8:8" ht="14.25" customHeight="1">
      <c r="A44" s="103"/>
      <c r="B44" s="104"/>
      <c r="D44" s="105" t="s">
        <v>134</v>
      </c>
      <c r="E44" s="106"/>
      <c r="F44" s="106"/>
      <c r="G44" s="106"/>
      <c r="H44" s="106"/>
      <c r="I44" s="106"/>
      <c r="J44" s="107"/>
      <c r="K44" s="4"/>
      <c r="L44" s="4"/>
      <c r="M44" s="4"/>
      <c r="O44" s="4"/>
      <c r="V44" s="76"/>
      <c r="W44" s="76"/>
      <c r="X44" s="76"/>
      <c r="Y44" s="76"/>
      <c r="Z44" s="76"/>
      <c r="AA44" s="76"/>
    </row>
    <row r="45" spans="8:8" ht="14.25" customHeight="1">
      <c r="A45" s="92"/>
      <c r="B45" s="93"/>
      <c r="D45" s="108"/>
      <c r="E45" s="109"/>
      <c r="F45" s="109"/>
      <c r="G45" s="109"/>
      <c r="H45" s="109"/>
      <c r="I45" s="109"/>
      <c r="J45" s="110"/>
      <c r="K45" s="4"/>
      <c r="L45" s="4"/>
      <c r="M45" s="4"/>
      <c r="O45" s="4"/>
      <c r="V45" s="76"/>
      <c r="W45" s="76"/>
      <c r="X45" s="76"/>
      <c r="Y45" s="76"/>
      <c r="Z45" s="76"/>
      <c r="AA45" s="76"/>
    </row>
    <row r="46" spans="8:8" ht="14.25" customHeight="1">
      <c r="A46" s="92"/>
      <c r="B46" s="93"/>
      <c r="C46" s="100"/>
      <c r="K46" s="4"/>
      <c r="L46" s="4"/>
      <c r="M46" s="4"/>
      <c r="O46" s="4"/>
      <c r="V46" s="76"/>
      <c r="W46" s="76"/>
      <c r="X46" s="76"/>
      <c r="Y46" s="76"/>
      <c r="Z46" s="76"/>
      <c r="AA46" s="76"/>
    </row>
    <row r="47" spans="8:8" ht="14.25" customHeight="1">
      <c r="A47" s="92"/>
      <c r="B47" s="93"/>
      <c r="K47" s="4"/>
      <c r="L47" s="4"/>
      <c r="M47" s="4"/>
      <c r="O47" s="4"/>
      <c r="V47" s="76"/>
      <c r="W47" s="76"/>
      <c r="X47" s="76"/>
      <c r="Y47" s="76"/>
      <c r="Z47" s="76"/>
      <c r="AA47" s="76"/>
    </row>
    <row r="48" spans="8:8" ht="14.25" customHeight="1">
      <c r="A48" s="92"/>
      <c r="B48" s="93"/>
      <c r="K48" s="111"/>
      <c r="L48" s="4"/>
      <c r="M48" s="4"/>
      <c r="O48" s="4"/>
      <c r="V48" s="112"/>
      <c r="W48" s="112"/>
      <c r="X48" s="76"/>
      <c r="Y48" s="76"/>
      <c r="Z48" s="76"/>
      <c r="AA48" s="76"/>
      <c r="AB48" s="76"/>
      <c r="AC48" s="76"/>
      <c r="AD48" s="76"/>
    </row>
    <row r="49" spans="8:8" ht="14.25" customHeight="1">
      <c r="A49" s="92"/>
      <c r="B49" s="93"/>
      <c r="C49" s="100"/>
      <c r="K49" s="111"/>
      <c r="L49" s="4"/>
      <c r="M49" s="4"/>
      <c r="O49" s="4"/>
      <c r="V49" s="112"/>
      <c r="W49" s="112"/>
      <c r="X49" s="76"/>
      <c r="Y49" s="76"/>
      <c r="Z49" s="76"/>
      <c r="AA49" s="76"/>
      <c r="AB49" s="76"/>
      <c r="AC49" s="76"/>
      <c r="AD49" s="76"/>
    </row>
    <row r="50" spans="8:8" ht="14.25" customHeight="1">
      <c r="A50" s="92"/>
      <c r="B50" s="93"/>
      <c r="C50" s="100"/>
      <c r="L50" s="4"/>
      <c r="M50" s="4"/>
      <c r="O50" s="4"/>
      <c r="V50" s="112"/>
      <c r="W50" s="112"/>
      <c r="X50" s="76"/>
      <c r="Y50" s="76"/>
      <c r="Z50" s="76"/>
      <c r="AA50" s="76"/>
      <c r="AB50" s="76"/>
      <c r="AC50" s="76"/>
      <c r="AD50" s="76"/>
    </row>
    <row r="51" spans="8:8" ht="14.25" customHeight="1">
      <c r="A51" s="89"/>
      <c r="B51" s="95"/>
      <c r="C51" s="100"/>
      <c r="L51" s="4"/>
      <c r="M51" s="4"/>
      <c r="O51" s="4"/>
      <c r="V51" s="112"/>
      <c r="W51" s="112"/>
      <c r="X51" s="76"/>
      <c r="Y51" s="76"/>
      <c r="Z51" s="76"/>
      <c r="AA51" s="76"/>
      <c r="AB51" s="76"/>
      <c r="AC51" s="76"/>
      <c r="AD51" s="76"/>
    </row>
    <row r="52" spans="8:8" ht="14.25" customHeight="1">
      <c r="A52" s="4"/>
      <c r="B52" s="4"/>
      <c r="C52" s="100"/>
      <c r="K52" s="111"/>
      <c r="L52" s="4"/>
      <c r="M52" s="4"/>
      <c r="O52" s="4"/>
      <c r="V52" s="112"/>
      <c r="W52" s="112"/>
      <c r="X52" s="76"/>
      <c r="Y52" s="76"/>
      <c r="Z52" s="76"/>
      <c r="AA52" s="76"/>
      <c r="AB52" s="76"/>
      <c r="AC52" s="76"/>
      <c r="AD52" s="76"/>
    </row>
    <row r="53" spans="8:8" ht="14.25" customHeight="1">
      <c r="C53" s="100"/>
      <c r="K53" s="111"/>
      <c r="L53" s="4"/>
      <c r="M53" s="4"/>
      <c r="O53" s="4"/>
      <c r="V53" s="112"/>
      <c r="W53" s="112"/>
      <c r="X53" s="76"/>
      <c r="Y53" s="76"/>
      <c r="Z53" s="76"/>
      <c r="AA53" s="76"/>
      <c r="AB53" s="76"/>
      <c r="AC53" s="76"/>
      <c r="AD53" s="76"/>
    </row>
    <row r="54" spans="8:8" ht="14.25" customHeight="1">
      <c r="C54" s="100"/>
      <c r="K54" s="111"/>
      <c r="L54" s="4"/>
      <c r="M54" s="4"/>
      <c r="O54" s="4"/>
      <c r="V54" s="76"/>
      <c r="W54" s="76"/>
      <c r="X54" s="76"/>
      <c r="Y54" s="76"/>
      <c r="Z54" s="76"/>
      <c r="AA54" s="76"/>
      <c r="AB54" s="76"/>
      <c r="AC54" s="76"/>
      <c r="AD54" s="76"/>
    </row>
    <row r="55" spans="8:8" ht="14.25" customHeight="1">
      <c r="A55" s="113"/>
      <c r="B55" s="114"/>
      <c r="C55" s="4"/>
      <c r="K55" s="100"/>
      <c r="L55" s="76"/>
      <c r="M55" s="76"/>
      <c r="N55" s="76"/>
      <c r="O55" s="76"/>
      <c r="V55" s="76"/>
      <c r="W55" s="76"/>
      <c r="X55" s="76"/>
      <c r="Y55" s="76"/>
      <c r="Z55" s="76"/>
      <c r="AA55" s="76"/>
      <c r="AB55" s="76"/>
      <c r="AC55" s="76"/>
      <c r="AD55" s="76"/>
    </row>
    <row r="56" spans="8:8" ht="14.25" customHeight="1">
      <c r="A56" s="114"/>
      <c r="B56" s="114"/>
      <c r="C56" s="4"/>
      <c r="L56" s="100"/>
      <c r="M56" s="100"/>
      <c r="N56" s="100"/>
      <c r="O56" s="100"/>
    </row>
    <row r="57" spans="8:8" ht="14.25" customHeight="1">
      <c r="A57" s="114"/>
      <c r="B57" s="114"/>
      <c r="C57" s="4"/>
      <c r="L57" s="100"/>
      <c r="M57" s="100"/>
      <c r="N57" s="100"/>
      <c r="O57" s="100"/>
    </row>
    <row r="58" spans="8:8" ht="14.25" customHeight="1">
      <c r="A58" s="114"/>
      <c r="B58" s="114"/>
      <c r="C58" s="4"/>
      <c r="K58" s="100"/>
      <c r="L58" s="100"/>
      <c r="M58" s="100"/>
      <c r="N58" s="100"/>
      <c r="O58" s="100"/>
    </row>
    <row r="59" spans="8:8" ht="14.25" customHeight="1">
      <c r="A59" s="114"/>
      <c r="B59" s="114"/>
      <c r="C59" s="4"/>
      <c r="K59" s="100"/>
      <c r="L59" s="100"/>
      <c r="M59" s="100"/>
      <c r="N59" s="100"/>
      <c r="O59" s="100"/>
    </row>
    <row r="60" spans="8:8" ht="14.25" customHeight="1">
      <c r="A60" s="114"/>
      <c r="B60" s="114"/>
      <c r="C60" s="4"/>
    </row>
    <row r="61" spans="8:8" ht="14.25" customHeight="1">
      <c r="A61" s="114"/>
      <c r="B61" s="114"/>
      <c r="C61" s="4"/>
    </row>
    <row r="62" spans="8:8" ht="14.25" customHeight="1">
      <c r="A62" s="114"/>
      <c r="B62" s="114"/>
      <c r="C62" s="4"/>
    </row>
    <row r="63" spans="8:8" ht="14.25" customHeight="1">
      <c r="A63" s="114"/>
      <c r="B63" s="114"/>
      <c r="C63" s="4"/>
    </row>
    <row r="64" spans="8:8" ht="14.25" customHeight="1">
      <c r="A64" s="114"/>
      <c r="B64" s="114"/>
      <c r="C64" s="4"/>
    </row>
    <row r="65" spans="8:8" ht="14.25" customHeight="1">
      <c r="C65" s="4"/>
    </row>
    <row r="66" spans="8:8" ht="14.25" customHeight="1">
      <c r="C66" s="4"/>
    </row>
    <row r="67" spans="8:8" ht="14.25" customHeight="1">
      <c r="C67" s="4"/>
    </row>
    <row r="68" spans="8:8" ht="14.25" customHeight="1">
      <c r="C68" s="4"/>
    </row>
    <row r="69" spans="8:8" ht="14.25" customHeight="1">
      <c r="C69" s="4"/>
    </row>
    <row r="70" spans="8:8" ht="14.25" customHeight="1">
      <c r="C70" s="4"/>
    </row>
    <row r="71" spans="8:8" ht="14.25" customHeight="1">
      <c r="C71" s="4"/>
    </row>
    <row r="72" spans="8:8" ht="14.25" customHeight="1">
      <c r="C72" s="4"/>
    </row>
  </sheetData>
  <mergeCells count="24">
    <mergeCell ref="A16:B16"/>
    <mergeCell ref="P6:R6"/>
    <mergeCell ref="A23:B23"/>
    <mergeCell ref="D7:D8"/>
    <mergeCell ref="P9:R9"/>
    <mergeCell ref="E7:F8"/>
    <mergeCell ref="A30:B30"/>
    <mergeCell ref="A44:B44"/>
    <mergeCell ref="P1:R1"/>
    <mergeCell ref="H7:H8"/>
    <mergeCell ref="L30:N30"/>
    <mergeCell ref="L6:N6"/>
    <mergeCell ref="L9:N9"/>
    <mergeCell ref="I7:J8"/>
    <mergeCell ref="L35:N35"/>
    <mergeCell ref="L7:R8"/>
    <mergeCell ref="L28:N28"/>
    <mergeCell ref="L16:N16"/>
    <mergeCell ref="L23:N23"/>
    <mergeCell ref="L14:N14"/>
    <mergeCell ref="P14:R14"/>
    <mergeCell ref="D44:J45"/>
    <mergeCell ref="A37:B37"/>
    <mergeCell ref="L1:N1"/>
  </mergeCells>
  <pageMargins left="0.7875" right="0.7875" top="0.9840277777777777" bottom="0.9840277777777777" header="0.5118055555555555" footer="0.5118055555555555"/>
  <headerFooter alignWithMargins="0"/>
  <legacyDrawing r:id="rId2"/>
  <picture r:id="rId1"/>
</worksheet>
</file>

<file path=xl/worksheets/sheet10.xml><?xml version="1.0" encoding="utf-8"?>
<worksheet xmlns:r="http://schemas.openxmlformats.org/officeDocument/2006/relationships" xmlns="http://schemas.openxmlformats.org/spreadsheetml/2006/main">
  <dimension ref="A1:BO250"/>
  <sheetViews>
    <sheetView workbookViewId="0" showGridLines="0" showRowColHeaders="0" zoomScale="70">
      <selection activeCell="A1" sqref="A1"/>
    </sheetView>
  </sheetViews>
  <sheetFormatPr defaultRowHeight="12.75" defaultColWidth="10"/>
  <cols>
    <col min="1" max="1" customWidth="0" width="10.425781" style="1065"/>
    <col min="2" max="16384" customWidth="0" width="10.425781" style="1066"/>
  </cols>
  <sheetData>
    <row r="1" spans="8:8" ht="15.0" customHeight="1">
      <c r="A1" s="1067" t="s">
        <v>133</v>
      </c>
      <c r="B1" s="1068">
        <f>Calculadora!$B$10</f>
        <v>140.0</v>
      </c>
      <c r="D1" s="1069" t="s">
        <v>134</v>
      </c>
      <c r="E1" s="1070"/>
      <c r="F1" s="1070"/>
      <c r="G1" s="1070"/>
      <c r="H1" s="1070"/>
      <c r="I1" s="1070"/>
      <c r="J1" s="1071"/>
      <c r="AN1" s="1072"/>
      <c r="AO1" s="1072"/>
      <c r="AP1" s="1072"/>
      <c r="AQ1" s="1072"/>
      <c r="AR1" s="1072"/>
      <c r="AS1" s="1072"/>
      <c r="AT1" s="1072"/>
      <c r="AU1" s="1072"/>
      <c r="AV1" s="1072"/>
    </row>
    <row r="2" spans="8:8" ht="15.0" customHeight="1">
      <c r="A2" s="1065">
        <v>0.025</v>
      </c>
      <c r="B2" s="1073">
        <f>B$1*A2</f>
        <v>3.5</v>
      </c>
      <c r="D2" s="1074"/>
      <c r="E2" s="1075"/>
      <c r="F2" s="1075"/>
      <c r="G2" s="1075"/>
      <c r="H2" s="1075"/>
      <c r="I2" s="1075"/>
      <c r="J2" s="1076"/>
      <c r="AN2" s="1072"/>
      <c r="AO2" s="1072"/>
      <c r="AP2" s="1072"/>
      <c r="AQ2" s="1072"/>
      <c r="AR2" s="1072"/>
      <c r="AS2" s="1072"/>
      <c r="AT2" s="1072"/>
      <c r="AU2" s="1072"/>
      <c r="AV2" s="1072"/>
    </row>
    <row r="3" spans="8:8" ht="13.5">
      <c r="A3" s="1065">
        <f>A2+(1/360)</f>
        <v>0.027777777777777783</v>
      </c>
      <c r="B3" s="1073">
        <f t="shared" si="0" ref="B3:B66">B$1*A3</f>
        <v>3.8888888888888897</v>
      </c>
      <c r="AN3" s="1072"/>
      <c r="AO3" s="1072"/>
      <c r="AP3" s="1072"/>
      <c r="AQ3" s="1072"/>
      <c r="AR3" s="1072"/>
      <c r="AS3" s="1072"/>
      <c r="AT3" s="1072"/>
      <c r="AU3" s="1072"/>
      <c r="AV3" s="1072"/>
    </row>
    <row r="4" spans="8:8" ht="15.0">
      <c r="A4" s="1065">
        <f t="shared" si="1" ref="A4:A67">A3+(1/360)</f>
        <v>0.03055555555555558</v>
      </c>
      <c r="B4" s="1073">
        <f t="shared" si="0"/>
        <v>4.277777777777781</v>
      </c>
      <c r="D4" s="1077" t="s">
        <v>66</v>
      </c>
      <c r="E4" s="1078"/>
      <c r="F4" s="1078"/>
      <c r="G4" s="1078"/>
      <c r="H4" s="1078"/>
      <c r="I4" s="1078"/>
      <c r="J4" s="1078"/>
      <c r="K4" s="1078"/>
      <c r="L4" s="1078"/>
      <c r="M4" s="1078"/>
      <c r="N4" s="1078"/>
      <c r="O4" s="1078"/>
      <c r="P4" s="1079"/>
      <c r="Q4" s="1080"/>
      <c r="R4" s="1081" t="s">
        <v>67</v>
      </c>
      <c r="S4" s="1078"/>
      <c r="T4" s="1078"/>
      <c r="U4" s="1078"/>
      <c r="V4" s="1078"/>
      <c r="W4" s="1078"/>
      <c r="X4" s="1082"/>
      <c r="Y4" s="1082"/>
      <c r="Z4" s="1082"/>
      <c r="AA4" s="1082"/>
      <c r="AB4" s="1082"/>
      <c r="AC4" s="1082"/>
      <c r="AD4" s="1083"/>
      <c r="AN4" s="1084"/>
      <c r="AO4" s="1084"/>
      <c r="AP4" s="1084"/>
      <c r="AQ4" s="1084"/>
      <c r="AR4" s="1084"/>
      <c r="AS4" s="1084"/>
      <c r="AT4" s="1084"/>
      <c r="AU4" s="1084"/>
      <c r="AV4" s="1084"/>
    </row>
    <row r="5" spans="8:8" ht="14.25">
      <c r="A5" s="1065">
        <f t="shared" si="1"/>
        <v>0.03333333333333338</v>
      </c>
      <c r="B5" s="1073">
        <f t="shared" si="0"/>
        <v>4.666666666666673</v>
      </c>
      <c r="D5" s="1085"/>
      <c r="E5" s="1086"/>
      <c r="F5" s="1086"/>
      <c r="G5" s="1086"/>
      <c r="H5" s="1086"/>
      <c r="I5" s="1086"/>
      <c r="J5" s="1086"/>
      <c r="K5" s="1086"/>
      <c r="L5" s="1086"/>
      <c r="M5" s="1086"/>
      <c r="N5" s="1086"/>
      <c r="O5" s="1086"/>
      <c r="P5" s="1087"/>
      <c r="Q5" s="1080"/>
      <c r="R5" s="1088"/>
      <c r="S5" s="1086"/>
      <c r="T5" s="1086"/>
      <c r="U5" s="1086"/>
      <c r="V5" s="1086"/>
      <c r="W5" s="1086"/>
      <c r="AD5" s="1089"/>
      <c r="AN5" s="1084"/>
      <c r="AO5" s="1084"/>
      <c r="AP5" s="1084"/>
      <c r="AQ5" s="1084"/>
      <c r="AR5" s="1084"/>
      <c r="AS5" s="1084"/>
      <c r="AT5" s="1084"/>
      <c r="AU5" s="1084"/>
      <c r="AV5" s="1084"/>
    </row>
    <row r="6" spans="8:8" ht="15.0">
      <c r="A6" s="1065">
        <f t="shared" si="1"/>
        <v>0.036111111111111184</v>
      </c>
      <c r="B6" s="1073">
        <f t="shared" si="0"/>
        <v>5.055555555555566</v>
      </c>
      <c r="D6" s="1085"/>
      <c r="E6" s="1086"/>
      <c r="F6" s="1086"/>
      <c r="G6" s="1086"/>
      <c r="H6" s="1086"/>
      <c r="I6" s="1086"/>
      <c r="J6" s="1086"/>
      <c r="K6" s="1086"/>
      <c r="L6" s="1086"/>
      <c r="M6" s="1086"/>
      <c r="N6" s="1086"/>
      <c r="O6" s="1086"/>
      <c r="P6" s="1087"/>
      <c r="Q6" s="1080"/>
      <c r="R6" s="1088"/>
      <c r="S6" s="1086"/>
      <c r="T6" s="1086"/>
      <c r="U6" s="1086"/>
      <c r="V6" s="1086"/>
      <c r="W6" s="1086"/>
      <c r="AD6" s="1089"/>
      <c r="AN6" s="1084"/>
      <c r="AO6" s="1084"/>
      <c r="AP6" s="1084"/>
      <c r="AQ6" s="1084"/>
      <c r="AR6" s="1084"/>
      <c r="AS6" s="1084"/>
      <c r="AT6" s="1084"/>
      <c r="AU6" s="1084"/>
      <c r="AV6" s="1084"/>
    </row>
    <row r="7" spans="8:8" ht="15.0">
      <c r="A7" s="1065">
        <f t="shared" si="1"/>
        <v>0.03888888888888898</v>
      </c>
      <c r="B7" s="1073">
        <f t="shared" si="0"/>
        <v>5.444444444444457</v>
      </c>
      <c r="D7" s="1090" t="s">
        <v>135</v>
      </c>
      <c r="E7" s="1090"/>
      <c r="F7" s="1086"/>
      <c r="G7" s="1086"/>
      <c r="H7" s="1086"/>
      <c r="I7" s="1086"/>
      <c r="J7" s="1086"/>
      <c r="K7" s="1086"/>
      <c r="L7" s="1086"/>
      <c r="M7" s="1086"/>
      <c r="N7" s="1086"/>
      <c r="O7" s="1086"/>
      <c r="P7" s="1087"/>
      <c r="Q7" s="1080"/>
      <c r="R7" s="1091" t="s">
        <v>135</v>
      </c>
      <c r="S7" s="1091"/>
      <c r="T7" s="1086"/>
      <c r="U7" s="1086"/>
      <c r="V7" s="1086"/>
      <c r="W7" s="1086"/>
      <c r="AD7" s="1089"/>
      <c r="AN7" s="1084"/>
      <c r="AO7" s="1084"/>
      <c r="AP7" s="1084"/>
      <c r="AQ7" s="1084"/>
      <c r="AR7" s="1084"/>
      <c r="AS7" s="1084"/>
      <c r="AT7" s="1084"/>
      <c r="AU7" s="1084"/>
      <c r="AV7" s="1084"/>
    </row>
    <row r="8" spans="8:8" ht="14.25">
      <c r="A8" s="1065">
        <f t="shared" si="1"/>
        <v>0.04166666666666678</v>
      </c>
      <c r="B8" s="1073">
        <f t="shared" si="0"/>
        <v>5.83333333333335</v>
      </c>
      <c r="D8" s="1085" t="s">
        <v>126</v>
      </c>
      <c r="E8" s="1092">
        <f>Calculadora!B1</f>
        <v>261.88</v>
      </c>
      <c r="F8" s="1086"/>
      <c r="G8" s="1086"/>
      <c r="H8" s="1086"/>
      <c r="I8" s="1086"/>
      <c r="J8" s="1086"/>
      <c r="K8" s="1086"/>
      <c r="L8" s="1086"/>
      <c r="M8" s="1086"/>
      <c r="O8" s="1086"/>
      <c r="P8" s="1087"/>
      <c r="Q8" s="1080"/>
      <c r="R8" s="1093" t="s">
        <v>126</v>
      </c>
      <c r="S8" s="1079">
        <f>E8</f>
        <v>261.88</v>
      </c>
      <c r="T8" s="1086"/>
      <c r="U8" s="1086"/>
      <c r="V8" s="1086"/>
      <c r="W8" s="1086"/>
      <c r="AD8" s="1089"/>
      <c r="AN8" s="1084"/>
      <c r="AO8" s="1084"/>
      <c r="AP8" s="1084"/>
      <c r="AQ8" s="1084"/>
      <c r="AR8" s="1084"/>
      <c r="AS8" s="1084"/>
      <c r="AT8" s="1084"/>
      <c r="AU8" s="1084"/>
      <c r="AV8" s="1084"/>
    </row>
    <row r="9" spans="8:8" ht="14.25">
      <c r="A9" s="1065">
        <f t="shared" si="1"/>
        <v>0.044444444444444585</v>
      </c>
      <c r="B9" s="1073">
        <f t="shared" si="0"/>
        <v>6.222222222222242</v>
      </c>
      <c r="D9" s="1085" t="s">
        <v>136</v>
      </c>
      <c r="E9" s="1092">
        <f>Calculadora!B2</f>
        <v>0.95</v>
      </c>
      <c r="F9" s="1086"/>
      <c r="G9" s="1086"/>
      <c r="H9" s="1086"/>
      <c r="I9" s="1086"/>
      <c r="J9" s="1086"/>
      <c r="K9" s="1086"/>
      <c r="L9" s="1086"/>
      <c r="M9" s="1086"/>
      <c r="O9" s="1086"/>
      <c r="P9" s="1087"/>
      <c r="Q9" s="1080"/>
      <c r="R9" s="1088" t="s">
        <v>136</v>
      </c>
      <c r="S9" s="1087">
        <f>E9</f>
        <v>0.95</v>
      </c>
      <c r="T9" s="1086"/>
      <c r="U9" s="1086"/>
      <c r="V9" s="1086"/>
      <c r="W9" s="1086"/>
      <c r="AD9" s="1089"/>
      <c r="AN9" s="1084"/>
      <c r="AO9" s="1084"/>
      <c r="AP9" s="1084"/>
      <c r="AQ9" s="1084"/>
      <c r="AR9" s="1084"/>
      <c r="AS9" s="1084"/>
      <c r="AT9" s="1084"/>
      <c r="AU9" s="1084"/>
      <c r="AV9" s="1084"/>
    </row>
    <row r="10" spans="8:8" ht="15.0">
      <c r="A10" s="1065">
        <f t="shared" si="1"/>
        <v>0.04722222222222238</v>
      </c>
      <c r="B10" s="1073">
        <f t="shared" si="0"/>
        <v>6.611111111111133</v>
      </c>
      <c r="D10" s="1085" t="s">
        <v>93</v>
      </c>
      <c r="E10" s="1092">
        <f>Calculadora!B3</f>
        <v>5.0</v>
      </c>
      <c r="F10" s="1086"/>
      <c r="G10" s="1086"/>
      <c r="H10" s="1086"/>
      <c r="I10" s="1086"/>
      <c r="J10" s="1086"/>
      <c r="K10" s="1086"/>
      <c r="L10" s="1086"/>
      <c r="M10" s="1086"/>
      <c r="P10" s="1087"/>
      <c r="Q10" s="1080"/>
      <c r="R10" s="1088" t="s">
        <v>93</v>
      </c>
      <c r="S10" s="1087">
        <f>(-1)*E10</f>
        <v>-5.0</v>
      </c>
      <c r="T10" s="1086"/>
      <c r="U10" s="1086"/>
      <c r="V10" s="1086"/>
      <c r="W10" s="1086"/>
      <c r="AD10" s="1089"/>
      <c r="AN10" s="1084"/>
      <c r="AO10" s="1084"/>
      <c r="AP10" s="1084"/>
      <c r="AQ10" s="1084"/>
      <c r="AR10" s="1084"/>
      <c r="AS10" s="1084"/>
      <c r="AT10" s="1084"/>
      <c r="AU10" s="1084"/>
      <c r="AV10" s="1084"/>
    </row>
    <row r="11" spans="8:8" ht="15.75">
      <c r="A11" s="1065">
        <f t="shared" si="1"/>
        <v>0.05000000000000018</v>
      </c>
      <c r="B11" s="1073">
        <f t="shared" si="0"/>
        <v>7.000000000000026</v>
      </c>
      <c r="D11" s="1085" t="s">
        <v>137</v>
      </c>
      <c r="E11" s="1094">
        <f>Calculadora!B4</f>
        <v>59.89</v>
      </c>
      <c r="F11" s="1086"/>
      <c r="G11" s="1086"/>
      <c r="H11" s="1086"/>
      <c r="I11" s="1086"/>
      <c r="J11" s="1086"/>
      <c r="K11" s="1086"/>
      <c r="L11" s="1086"/>
      <c r="M11" s="1095"/>
      <c r="N11" s="1095"/>
      <c r="O11" s="1095"/>
      <c r="P11" s="1087"/>
      <c r="Q11" s="1080"/>
      <c r="R11" s="1088" t="s">
        <v>137</v>
      </c>
      <c r="S11" s="1087">
        <f>E11</f>
        <v>59.89</v>
      </c>
      <c r="T11" s="1086"/>
      <c r="U11" s="1086"/>
      <c r="V11" s="1086"/>
      <c r="W11" s="1086"/>
      <c r="AA11" s="1096"/>
      <c r="AB11" s="1096"/>
      <c r="AC11" s="1096"/>
      <c r="AD11" s="1089"/>
      <c r="AH11" s="1097" t="s">
        <v>138</v>
      </c>
      <c r="AI11" s="1098"/>
      <c r="AJ11" s="1098"/>
      <c r="AK11" s="1098"/>
      <c r="AL11" s="1098"/>
      <c r="AM11" s="1098"/>
      <c r="AN11" s="1098"/>
      <c r="AO11" s="1098"/>
      <c r="AP11" s="1099"/>
      <c r="AQ11" s="1084"/>
      <c r="AR11" s="1084"/>
      <c r="AS11" s="1100" t="s">
        <v>139</v>
      </c>
      <c r="AT11" s="1101"/>
      <c r="AU11" s="1101"/>
      <c r="AV11" s="1101"/>
      <c r="AW11" s="1101"/>
      <c r="AX11" s="1102"/>
    </row>
    <row r="12" spans="8:8" ht="15.0">
      <c r="A12" s="1065">
        <f t="shared" si="1"/>
        <v>0.05277777777777798</v>
      </c>
      <c r="B12" s="1073">
        <f t="shared" si="0"/>
        <v>7.388888888888917</v>
      </c>
      <c r="D12" s="1085" t="s">
        <v>140</v>
      </c>
      <c r="E12" s="1103">
        <f>Calculadora!B7*100</f>
        <v>100.0</v>
      </c>
      <c r="F12" s="1086"/>
      <c r="G12" s="1086"/>
      <c r="H12" s="1086"/>
      <c r="I12" s="1086"/>
      <c r="J12" s="1086"/>
      <c r="K12" s="1104" t="s">
        <v>141</v>
      </c>
      <c r="L12" s="1105" t="s">
        <v>142</v>
      </c>
      <c r="M12" s="1095"/>
      <c r="N12" s="1086"/>
      <c r="O12" s="1086"/>
      <c r="P12" s="1087"/>
      <c r="Q12" s="1080"/>
      <c r="R12" s="1088" t="s">
        <v>140</v>
      </c>
      <c r="S12" s="1106">
        <f>E12</f>
        <v>100.0</v>
      </c>
      <c r="T12" s="1086"/>
      <c r="U12" s="1086"/>
      <c r="V12" s="1086"/>
      <c r="W12" s="1086"/>
      <c r="Y12" s="1104" t="s">
        <v>141</v>
      </c>
      <c r="Z12" s="1107" t="s">
        <v>143</v>
      </c>
      <c r="AD12" s="1089"/>
      <c r="AH12" s="1108" t="s">
        <v>144</v>
      </c>
      <c r="AI12" s="1109"/>
      <c r="AJ12" s="1109"/>
      <c r="AK12" s="1109"/>
      <c r="AL12" s="1109"/>
      <c r="AM12" s="1109"/>
      <c r="AN12" s="1109"/>
      <c r="AO12" s="1109"/>
      <c r="AP12" s="1110"/>
      <c r="AQ12" s="1084"/>
      <c r="AR12" s="1084"/>
      <c r="AS12" s="1111" t="s">
        <v>145</v>
      </c>
      <c r="AT12" s="1112"/>
      <c r="AU12" s="1112"/>
      <c r="AV12" s="1112"/>
      <c r="AW12" s="1112"/>
      <c r="AX12" s="1113"/>
    </row>
    <row r="13" spans="8:8" ht="15.0">
      <c r="A13" s="1065">
        <f t="shared" si="1"/>
        <v>0.05555555555555578</v>
      </c>
      <c r="B13" s="1073">
        <f t="shared" si="0"/>
        <v>7.77777777777781</v>
      </c>
      <c r="D13" s="1114" t="s">
        <v>146</v>
      </c>
      <c r="E13" s="1115">
        <f>Calculadora!B5</f>
        <v>0.0</v>
      </c>
      <c r="F13" s="1086"/>
      <c r="G13" s="1086"/>
      <c r="H13" s="1086"/>
      <c r="I13" s="1086"/>
      <c r="J13" s="1086"/>
      <c r="K13" s="1093">
        <v>100.0</v>
      </c>
      <c r="L13" s="1116">
        <f>L41</f>
        <v>1.0</v>
      </c>
      <c r="N13" s="1107" t="s">
        <v>3</v>
      </c>
      <c r="O13" s="1117">
        <f>VLOOKUP(H18,I54:J70,2)</f>
        <v>100.0</v>
      </c>
      <c r="P13" s="1087"/>
      <c r="Q13" s="1080"/>
      <c r="R13" s="1118" t="s">
        <v>146</v>
      </c>
      <c r="S13" s="1119">
        <f>E13</f>
        <v>0.0</v>
      </c>
      <c r="T13" s="1086"/>
      <c r="U13" s="1086"/>
      <c r="V13" s="1086"/>
      <c r="W13" s="1086"/>
      <c r="Y13" s="1120">
        <v>100.0</v>
      </c>
      <c r="Z13" s="1121">
        <f>Z41</f>
        <v>1.0</v>
      </c>
      <c r="AB13" s="1107" t="s">
        <v>3</v>
      </c>
      <c r="AC13" s="1117">
        <f>VLOOKUP(V18,W54:X70,2)</f>
        <v>100.0</v>
      </c>
      <c r="AD13" s="1089"/>
      <c r="AN13" s="1084"/>
      <c r="AO13" s="1084"/>
      <c r="AP13" s="1084"/>
      <c r="AQ13" s="1084"/>
      <c r="AR13" s="1084"/>
    </row>
    <row r="14" spans="8:8" ht="15.0">
      <c r="A14" s="1065">
        <f t="shared" si="1"/>
        <v>0.058333333333333584</v>
      </c>
      <c r="B14" s="1073">
        <f t="shared" si="0"/>
        <v>8.166666666666702</v>
      </c>
      <c r="D14" s="1085"/>
      <c r="E14" s="1086"/>
      <c r="F14" s="1086"/>
      <c r="G14" s="1086"/>
      <c r="H14" s="1086"/>
      <c r="I14" s="1086"/>
      <c r="J14" s="1086"/>
      <c r="K14" s="1088">
        <v>98.0</v>
      </c>
      <c r="L14" s="1122">
        <f t="shared" si="2" ref="L14:L22">L42</f>
        <v>1.0201632653061226</v>
      </c>
      <c r="M14" s="1096"/>
      <c r="N14" s="1095"/>
      <c r="O14" s="1095"/>
      <c r="P14" s="1087"/>
      <c r="Q14" s="1080"/>
      <c r="R14" s="1088"/>
      <c r="S14" s="1086"/>
      <c r="T14" s="1086"/>
      <c r="U14" s="1086"/>
      <c r="V14" s="1086"/>
      <c r="W14" s="1086"/>
      <c r="Y14" s="1120">
        <v>98.0</v>
      </c>
      <c r="Z14" s="1121">
        <f t="shared" si="3" ref="Z14:Z22">Z42</f>
        <v>1.0201632653061226</v>
      </c>
      <c r="AA14" s="1096"/>
      <c r="AB14" s="1096"/>
      <c r="AC14" s="1096"/>
      <c r="AD14" s="1089"/>
      <c r="AN14" s="1084"/>
      <c r="AO14" s="1084"/>
      <c r="AP14" s="1084"/>
      <c r="AQ14" s="1084"/>
      <c r="AR14" s="1084"/>
      <c r="AS14" s="1084"/>
      <c r="AT14" s="1084"/>
      <c r="AU14" s="1123"/>
      <c r="AV14" s="1123"/>
      <c r="AW14" s="1124" t="s">
        <v>147</v>
      </c>
      <c r="AX14" s="1125"/>
      <c r="AY14" s="1125"/>
      <c r="AZ14" s="1126"/>
    </row>
    <row r="15" spans="8:8" ht="15.75">
      <c r="A15" s="1065">
        <f t="shared" si="1"/>
        <v>0.06111111111111138</v>
      </c>
      <c r="B15" s="1073">
        <f t="shared" si="0"/>
        <v>8.555555555555593</v>
      </c>
      <c r="D15" s="1085"/>
      <c r="E15" s="1086"/>
      <c r="F15" s="1086"/>
      <c r="G15" s="1086"/>
      <c r="H15" s="1086"/>
      <c r="J15" s="1086"/>
      <c r="K15" s="1088">
        <v>97.0</v>
      </c>
      <c r="L15" s="1122">
        <f t="shared" si="2"/>
        <v>1.0303711340206185</v>
      </c>
      <c r="M15" s="1127"/>
      <c r="N15" s="1127"/>
      <c r="P15" s="1087"/>
      <c r="Q15" s="1080"/>
      <c r="R15" s="1088"/>
      <c r="S15" s="1086"/>
      <c r="T15" s="1086"/>
      <c r="U15" s="1086"/>
      <c r="V15" s="1086"/>
      <c r="W15" s="1086"/>
      <c r="Y15" s="1120">
        <v>97.0</v>
      </c>
      <c r="Z15" s="1121">
        <f t="shared" si="3"/>
        <v>1.0303711340206185</v>
      </c>
      <c r="AA15" s="1127"/>
      <c r="AB15" s="1127"/>
      <c r="AD15" s="1089"/>
      <c r="AF15" s="1128" t="s">
        <v>148</v>
      </c>
      <c r="AN15" s="1084"/>
      <c r="AO15" s="1084"/>
      <c r="AP15" s="1084"/>
      <c r="AQ15" s="1084"/>
      <c r="AR15" s="1123"/>
      <c r="AS15" s="1129">
        <v>0.05</v>
      </c>
      <c r="AT15" s="1129">
        <v>0.05</v>
      </c>
      <c r="AW15" s="1129">
        <v>0.025</v>
      </c>
      <c r="AX15" s="1129">
        <v>0.025</v>
      </c>
      <c r="AY15" s="1129">
        <v>0.15</v>
      </c>
      <c r="AZ15" s="1129">
        <v>0.2</v>
      </c>
    </row>
    <row r="16" spans="8:8" ht="15.75">
      <c r="A16" s="1065">
        <f t="shared" si="1"/>
        <v>0.06388888888888918</v>
      </c>
      <c r="B16" s="1073">
        <f t="shared" si="0"/>
        <v>8.944444444444484</v>
      </c>
      <c r="D16" s="1085"/>
      <c r="E16" s="1105" t="s">
        <v>68</v>
      </c>
      <c r="F16" s="1105" t="s">
        <v>69</v>
      </c>
      <c r="G16" s="1105" t="s">
        <v>70</v>
      </c>
      <c r="H16" s="1105" t="s">
        <v>71</v>
      </c>
      <c r="I16" s="1105" t="s">
        <v>72</v>
      </c>
      <c r="J16" s="1086"/>
      <c r="K16" s="1088">
        <v>95.0</v>
      </c>
      <c r="L16" s="1122">
        <f t="shared" si="2"/>
        <v>1.0510526315789472</v>
      </c>
      <c r="M16" s="1130" t="s">
        <v>149</v>
      </c>
      <c r="N16" s="1131" t="s">
        <v>150</v>
      </c>
      <c r="P16" s="1089"/>
      <c r="Q16" s="1080"/>
      <c r="R16" s="1088"/>
      <c r="S16" s="1107" t="s">
        <v>68</v>
      </c>
      <c r="T16" s="1107" t="s">
        <v>69</v>
      </c>
      <c r="U16" s="1107" t="s">
        <v>70</v>
      </c>
      <c r="V16" s="1107" t="s">
        <v>71</v>
      </c>
      <c r="W16" s="1107" t="s">
        <v>72</v>
      </c>
      <c r="Y16" s="1120">
        <v>95.0</v>
      </c>
      <c r="Z16" s="1121">
        <f t="shared" si="3"/>
        <v>1.0510526315789472</v>
      </c>
      <c r="AA16" s="1130" t="s">
        <v>149</v>
      </c>
      <c r="AB16" s="1131" t="s">
        <v>150</v>
      </c>
      <c r="AD16" s="1089"/>
      <c r="AE16" s="1132"/>
      <c r="AF16" s="1128">
        <f>B1</f>
        <v>140.0</v>
      </c>
      <c r="AG16" s="1133" t="s">
        <v>3</v>
      </c>
      <c r="AH16" s="1134">
        <v>140.0</v>
      </c>
      <c r="AI16" s="1135">
        <v>142.0</v>
      </c>
      <c r="AJ16" s="1130">
        <v>144.0</v>
      </c>
      <c r="AK16" s="1117">
        <v>146.0</v>
      </c>
      <c r="AL16" s="1117">
        <v>148.0</v>
      </c>
      <c r="AM16" s="1117">
        <v>150.0</v>
      </c>
      <c r="AN16" s="1117">
        <v>152.0</v>
      </c>
      <c r="AO16" s="1117">
        <v>154.0</v>
      </c>
      <c r="AP16" s="1117">
        <v>156.0</v>
      </c>
      <c r="AQ16" s="1136"/>
      <c r="AR16" s="1137" t="s">
        <v>151</v>
      </c>
      <c r="AS16" s="1138" t="s">
        <v>152</v>
      </c>
      <c r="AT16" s="1138" t="s">
        <v>153</v>
      </c>
      <c r="AW16" s="1139">
        <v>140.0</v>
      </c>
      <c r="AX16" s="1139">
        <v>144.0</v>
      </c>
      <c r="AY16" s="1139">
        <v>150.0</v>
      </c>
      <c r="AZ16" s="1139">
        <v>154.0</v>
      </c>
      <c r="BA16" s="1066" t="s">
        <v>154</v>
      </c>
    </row>
    <row r="17" spans="8:8" ht="15.75">
      <c r="A17" s="1065">
        <f t="shared" si="1"/>
        <v>0.06666666666666698</v>
      </c>
      <c r="B17" s="1073">
        <f t="shared" si="0"/>
        <v>9.333333333333378</v>
      </c>
      <c r="D17" s="1107" t="s">
        <v>155</v>
      </c>
      <c r="E17" s="1093">
        <f>(ABS(E10*SIN(RADIANS(E11))))</f>
        <v>4.325319386285819</v>
      </c>
      <c r="F17" s="1078">
        <f>E8-E9</f>
        <v>260.93</v>
      </c>
      <c r="G17" s="1078">
        <f>G50</f>
        <v>0.0063</v>
      </c>
      <c r="H17" s="1078">
        <f>E17*F17*G17</f>
        <v>7.11021520102042</v>
      </c>
      <c r="I17" s="1079">
        <f>H17+(E13*K31)</f>
        <v>7.11021520102042</v>
      </c>
      <c r="J17" s="1086"/>
      <c r="K17" s="1088">
        <v>92.0</v>
      </c>
      <c r="L17" s="1122">
        <f t="shared" si="2"/>
        <v>1.0827826086956522</v>
      </c>
      <c r="M17" s="1140">
        <v>5.0</v>
      </c>
      <c r="N17" s="1105">
        <f>LOOKUP($B$1,$AH$16:$AP$16,AH17:AP17)</f>
        <v>6.425000000000001</v>
      </c>
      <c r="P17" s="1087"/>
      <c r="Q17" s="1080"/>
      <c r="R17" s="1107" t="s">
        <v>155</v>
      </c>
      <c r="S17" s="1093">
        <f>(ABS(S10*SIN(RADIANS(S11))))</f>
        <v>4.325319386285819</v>
      </c>
      <c r="T17" s="1078">
        <f>S8-S9</f>
        <v>260.93</v>
      </c>
      <c r="U17" s="1078">
        <f>U50</f>
        <v>0.0063</v>
      </c>
      <c r="V17" s="1078">
        <f>S17*T17*U17</f>
        <v>7.11021520102042</v>
      </c>
      <c r="W17" s="1079">
        <f>V17+(S13*Y31)</f>
        <v>7.11021520102042</v>
      </c>
      <c r="Y17" s="1120">
        <v>92.0</v>
      </c>
      <c r="Z17" s="1121">
        <f t="shared" si="3"/>
        <v>1.0827826086956522</v>
      </c>
      <c r="AA17" s="1140">
        <v>5.0</v>
      </c>
      <c r="AB17" s="1105">
        <f>LOOKUP($B$1,$AH$16:$AP$16,AH17:AP17)</f>
        <v>6.425000000000001</v>
      </c>
      <c r="AD17" s="1087"/>
      <c r="AF17" s="1141">
        <f>AF$16*AG17/100</f>
        <v>7.0</v>
      </c>
      <c r="AG17" s="1142">
        <v>5.0</v>
      </c>
      <c r="AH17" s="1143">
        <f t="shared" si="4" ref="AH17:AH80">AW17+$AW$15</f>
        <v>6.425000000000001</v>
      </c>
      <c r="AI17" s="1144">
        <f>MEDIAN(AH17,AJ17)</f>
        <v>6.625</v>
      </c>
      <c r="AJ17" s="1145">
        <f t="shared" si="5" ref="AJ17:AJ80">AX17+$AX$15</f>
        <v>6.825</v>
      </c>
      <c r="AK17" s="1144">
        <f>MEDIAN(AJ17,AL17)</f>
        <v>7.050000000000001</v>
      </c>
      <c r="AL17" s="1146">
        <f t="shared" si="6" ref="AL17:AL80">AJ17+AS17</f>
        <v>7.275</v>
      </c>
      <c r="AM17" s="1147">
        <f t="shared" si="7" ref="AM17:AM80">AY17+AY$15</f>
        <v>7.75</v>
      </c>
      <c r="AN17" s="1148">
        <f>MEDIAN(AM17,AO17)</f>
        <v>8.024999999999999</v>
      </c>
      <c r="AO17" s="1147">
        <f t="shared" si="8" ref="AO17:AO47">AZ17+1*AZ$15</f>
        <v>8.299999999999999</v>
      </c>
      <c r="AP17" s="1148">
        <f>AN17+AT17</f>
        <v>8.625</v>
      </c>
      <c r="AQ17" s="1136"/>
      <c r="AR17" s="1066">
        <f>AJ17-AH17</f>
        <v>0.40000000000000036</v>
      </c>
      <c r="AS17" s="1084">
        <f t="shared" si="9" ref="AS17:AS80">AR17+$AS$15</f>
        <v>0.45</v>
      </c>
      <c r="AT17" s="1149">
        <f>AO17-AM17+$AT$15</f>
        <v>0.5999999999999991</v>
      </c>
      <c r="AW17" s="1146">
        <v>6.4</v>
      </c>
      <c r="AX17" s="1146">
        <v>6.8</v>
      </c>
      <c r="AY17" s="1146">
        <v>7.6</v>
      </c>
      <c r="AZ17" s="1146">
        <v>8.1</v>
      </c>
      <c r="BA17" s="1150">
        <f>AF17</f>
        <v>7.0</v>
      </c>
      <c r="BB17" s="1151"/>
      <c r="BD17" s="1152"/>
    </row>
    <row r="18" spans="8:8" ht="15.0">
      <c r="A18" s="1065">
        <f t="shared" si="1"/>
        <v>0.06944444444444478</v>
      </c>
      <c r="B18" s="1073">
        <f t="shared" si="0"/>
        <v>9.72222222222227</v>
      </c>
      <c r="D18" s="1107" t="s">
        <v>156</v>
      </c>
      <c r="E18" s="1153">
        <f>E8</f>
        <v>261.88</v>
      </c>
      <c r="F18" s="1154">
        <f>(E10*COS(RADIANS(E11)))*E8*0.0085</f>
        <v>5.583444854540599</v>
      </c>
      <c r="G18" s="1154">
        <f>IF(E9&gt;0,E9*F36,E9*G36)</f>
        <v>1.3395</v>
      </c>
      <c r="H18" s="1154">
        <f>((E18+G18)*L23)-F18</f>
        <v>257.6360551454594</v>
      </c>
      <c r="I18" s="1155">
        <f>O13</f>
        <v>100.0</v>
      </c>
      <c r="J18" s="1086"/>
      <c r="K18" s="1088">
        <v>90.0</v>
      </c>
      <c r="L18" s="1122">
        <f>L46</f>
        <v>1.1044444444444443</v>
      </c>
      <c r="M18" s="1156">
        <f>M17+3*100/360</f>
        <v>5.833333333333333</v>
      </c>
      <c r="N18" s="1120">
        <f>LOOKUP($B$1,$AH$16:$AP$16,AH18:AP18)</f>
        <v>7.425000000000001</v>
      </c>
      <c r="P18" s="1087"/>
      <c r="Q18" s="1080"/>
      <c r="R18" s="1107" t="s">
        <v>156</v>
      </c>
      <c r="S18" s="1153">
        <f>S8</f>
        <v>261.88</v>
      </c>
      <c r="T18" s="1154">
        <f>(S10*COS(RADIANS(S11)))*S8*T50</f>
        <v>-5.583444854540599</v>
      </c>
      <c r="U18" s="1154">
        <f>IF(S9&gt;0,S9*T36,S9*U36)</f>
        <v>1.3395</v>
      </c>
      <c r="V18" s="1154">
        <f>((S18+U18)*Z23)-T18</f>
        <v>268.80294485454056</v>
      </c>
      <c r="W18" s="1155">
        <f>AC13</f>
        <v>100.0</v>
      </c>
      <c r="Y18" s="1120">
        <v>90.0</v>
      </c>
      <c r="Z18" s="1121">
        <f t="shared" si="3"/>
        <v>1.1044444444444443</v>
      </c>
      <c r="AA18" s="1156">
        <f>AA17+3*100/360</f>
        <v>5.833333333333333</v>
      </c>
      <c r="AB18" s="1120">
        <f>LOOKUP($B$1,$AH$16:$AP$16,AH18:AP18)</f>
        <v>7.425000000000001</v>
      </c>
      <c r="AD18" s="1087"/>
      <c r="AF18" s="1157">
        <f>AF$16*AG18/100</f>
        <v>8.166666666666666</v>
      </c>
      <c r="AG18" s="1158">
        <f>AG17+3*100/360</f>
        <v>5.833333333333333</v>
      </c>
      <c r="AH18" s="1066">
        <f t="shared" si="4"/>
        <v>7.425000000000001</v>
      </c>
      <c r="AI18" s="1159">
        <f>MEDIAN(AH18,AJ18)</f>
        <v>7.675000000000001</v>
      </c>
      <c r="AJ18" s="1132">
        <f t="shared" si="5"/>
        <v>7.925000000000001</v>
      </c>
      <c r="AK18" s="1159">
        <f>MEDIAN(AJ18,AL18)</f>
        <v>8.2</v>
      </c>
      <c r="AL18" s="1160">
        <f t="shared" si="6"/>
        <v>8.475</v>
      </c>
      <c r="AM18" s="1161">
        <f t="shared" si="7"/>
        <v>8.950000000000001</v>
      </c>
      <c r="AN18" s="1159">
        <f t="shared" si="10" ref="AN18:AN65">MEDIAN(AM18,AO18)</f>
        <v>9.275</v>
      </c>
      <c r="AO18" s="1161">
        <f>AZ18+1*AZ$15</f>
        <v>9.6</v>
      </c>
      <c r="AP18" s="1159">
        <f t="shared" si="11" ref="AP18:AP64">AN18+AT18</f>
        <v>9.975</v>
      </c>
      <c r="AQ18" s="1136"/>
      <c r="AR18" s="1066">
        <f>AJ18-AH18</f>
        <v>0.5</v>
      </c>
      <c r="AS18" s="1084">
        <f t="shared" si="9"/>
        <v>0.55</v>
      </c>
      <c r="AT18" s="1149">
        <f>AO18-AM18+$AT$15</f>
        <v>0.6999999999999991</v>
      </c>
      <c r="AW18" s="1162">
        <v>7.4</v>
      </c>
      <c r="AX18" s="1162">
        <v>7.9</v>
      </c>
      <c r="AY18" s="1162">
        <v>8.8</v>
      </c>
      <c r="AZ18" s="1162">
        <v>9.4</v>
      </c>
      <c r="BA18" s="1150">
        <f t="shared" si="12" ref="BA18:BA71">AF18</f>
        <v>8.166666666666666</v>
      </c>
      <c r="BB18" s="1151"/>
      <c r="BD18" s="1152"/>
    </row>
    <row r="19" spans="8:8" ht="14.25">
      <c r="A19" s="1065">
        <f t="shared" si="1"/>
        <v>0.07222222222222258</v>
      </c>
      <c r="B19" s="1073">
        <f t="shared" si="0"/>
        <v>10.11111111111116</v>
      </c>
      <c r="D19" s="1085"/>
      <c r="E19" s="1086"/>
      <c r="F19" s="1086"/>
      <c r="G19" s="1086"/>
      <c r="H19" s="1086"/>
      <c r="I19" s="1073" t="e">
        <f>INDEX($B$2:$B$222,(ROUND(((I18-2.5)/(20/72))+1,0)),1)</f>
        <v>#REF!</v>
      </c>
      <c r="J19" s="1086"/>
      <c r="K19" s="1088">
        <v>85.0</v>
      </c>
      <c r="L19" s="1122">
        <f t="shared" si="2"/>
        <v>1.1605882352941177</v>
      </c>
      <c r="M19" s="1156">
        <f t="shared" si="13" ref="M19:M82">M18+3*100/360</f>
        <v>6.666666666666663</v>
      </c>
      <c r="N19" s="1120">
        <f t="shared" si="14" ref="N19:N82">LOOKUP($B$1,$AH$16:$AP$16,AH19:AP19)</f>
        <v>8.425</v>
      </c>
      <c r="O19" s="656">
        <f>M17*($H$18-N18)*($H$18-N19)*($H$18-N20)*($H$18-N21)/((N17-N18)*(N17-N19)*(N17-N20)*(N17-N21))+M18*($H$18-N17)*($H$18-N19)*($H$18-N20)*($H$18-N21)/((N18-N17)*(N18-N19)*(N18-N20)*(N18-N21))+M19*($H$18-N17)*($H$18-N18)*($H$18-N20)*($H$18-N21)/((N19-N17)*(N19-N18)*(N19-N20)*(N19-N21))+M20*($H$18-N17)*($H$18-N18)*($H$18-N19)*($H$18-N21)/((N20-N17)*(N20-N18)*(N20-N19)*(N20-N21))+M21*($H$18-N17)*($H$18-N18)*($H$18-N19)*($H$18-N20)/((N21-N17)*(N21-N18)*(N21-N19)*(N21-N20))</f>
        <v>-1.103535871532011E7</v>
      </c>
      <c r="P19" s="1089"/>
      <c r="Q19" s="1080"/>
      <c r="R19" s="1088"/>
      <c r="S19" s="1086"/>
      <c r="T19" s="1086"/>
      <c r="U19" s="1086"/>
      <c r="V19" s="1086"/>
      <c r="W19" s="1073" t="e">
        <f>INDEX($B$2:$B$222,(ROUND(((W18-2.5)/(20/72))+1,0)),1)</f>
        <v>#REF!</v>
      </c>
      <c r="Y19" s="1120">
        <v>85.0</v>
      </c>
      <c r="Z19" s="1121">
        <f t="shared" si="3"/>
        <v>1.1605882352941177</v>
      </c>
      <c r="AA19" s="1156">
        <f t="shared" si="15" ref="AA19:AA82">AA18+3*100/360</f>
        <v>6.666666666666663</v>
      </c>
      <c r="AB19" s="1120">
        <f>LOOKUP($B$1,$AH$16:$AP$16,AH19:AP19)</f>
        <v>8.425</v>
      </c>
      <c r="AC19" s="656">
        <f>AA17*($V$18-AB18)*($V$18-AB19)*($V$18-AB20)*($V$18-AB21)/((AB17-AB18)*(AB17-AB19)*(AB17-AB20)*(AB17-AB21))+AA18*($V$18-AB17)*($V$18-AB19)*($V$18-AB20)*($V$18-AB21)/((AB18-AB17)*(AB18-AB19)*(AB18-AB20)*(AB18-AB21))+AA19*($V$18-AB17)*($V$18-AB18)*($V$18-AB20)*($V$18-AB21)/((AB19-AB17)*(AB19-AB18)*(AB19-AB20)*(AB19-AB21))+AA20*($V$18-AB17)*($V$18-AB18)*($V$18-AB19)*($V$18-AB21)/((AB20-AB17)*(AB20-AB18)*(AB20-AB19)*(AB20-AB21))+AA21*($V$18-AB17)*($V$18-AB18)*($V$18-AB19)*($V$18-AB20)/((AB21-AB17)*(AB21-AB18)*(AB21-AB19)*(AB21-AB20))</f>
        <v>-1.3145809653159857E7</v>
      </c>
      <c r="AD19" s="1089"/>
      <c r="AF19" s="1157">
        <f t="shared" si="16" ref="AF19:AF82">AF$16*AG19/100</f>
        <v>9.333333333333329</v>
      </c>
      <c r="AG19" s="1158">
        <f t="shared" si="17" ref="AG19:AG82">AG18+3*100/360</f>
        <v>6.666666666666663</v>
      </c>
      <c r="AH19" s="1066">
        <f t="shared" si="4"/>
        <v>8.425</v>
      </c>
      <c r="AI19" s="1159">
        <f t="shared" si="18" ref="AI19:AK82">MEDIAN(AH19,AJ19)</f>
        <v>8.725000000000001</v>
      </c>
      <c r="AJ19" s="1132">
        <f t="shared" si="5"/>
        <v>9.025</v>
      </c>
      <c r="AK19" s="1159">
        <f t="shared" si="18"/>
        <v>9.350000000000001</v>
      </c>
      <c r="AL19" s="1160">
        <f t="shared" si="6"/>
        <v>9.675</v>
      </c>
      <c r="AM19" s="1161">
        <f t="shared" si="7"/>
        <v>10.15</v>
      </c>
      <c r="AN19" s="1159">
        <f t="shared" si="10"/>
        <v>10.524999999999999</v>
      </c>
      <c r="AO19" s="1161">
        <f t="shared" si="8"/>
        <v>10.899999999999999</v>
      </c>
      <c r="AP19" s="1159">
        <f t="shared" si="11"/>
        <v>11.325</v>
      </c>
      <c r="AQ19" s="1136"/>
      <c r="AR19" s="1066">
        <f t="shared" si="19" ref="AR19:AR82">AJ19-AH19</f>
        <v>0.5999999999999996</v>
      </c>
      <c r="AS19" s="1084">
        <f t="shared" si="9"/>
        <v>0.65</v>
      </c>
      <c r="AT19" s="1149">
        <f t="shared" si="20" ref="AT19:AT65">AO19-AM19+$AT$15</f>
        <v>0.799999999999998</v>
      </c>
      <c r="AW19" s="1162">
        <v>8.4</v>
      </c>
      <c r="AX19" s="1162">
        <v>9.0</v>
      </c>
      <c r="AY19" s="1162">
        <v>10.0</v>
      </c>
      <c r="AZ19" s="1162">
        <v>10.7</v>
      </c>
      <c r="BA19" s="1150">
        <f t="shared" si="12"/>
        <v>9.333333333333329</v>
      </c>
      <c r="BB19" s="1151"/>
      <c r="BD19" s="1152"/>
    </row>
    <row r="20" spans="8:8" ht="14.25">
      <c r="A20" s="1065">
        <f t="shared" si="1"/>
        <v>0.07500000000000039</v>
      </c>
      <c r="B20" s="1073">
        <f t="shared" si="0"/>
        <v>10.500000000000053</v>
      </c>
      <c r="D20" s="1085"/>
      <c r="E20" s="1086"/>
      <c r="F20" s="1086"/>
      <c r="G20" s="1086"/>
      <c r="H20" s="1086"/>
      <c r="I20" s="1163"/>
      <c r="J20" s="1086"/>
      <c r="K20" s="1088">
        <v>82.0</v>
      </c>
      <c r="L20" s="1122">
        <f t="shared" si="2"/>
        <v>1.1958048780487807</v>
      </c>
      <c r="M20" s="1156">
        <f t="shared" si="13"/>
        <v>7.499999999999993</v>
      </c>
      <c r="N20" s="1120">
        <f t="shared" si="14"/>
        <v>9.425</v>
      </c>
      <c r="O20" s="1164"/>
      <c r="P20" s="1089"/>
      <c r="Q20" s="1080"/>
      <c r="R20" s="1088"/>
      <c r="S20" s="1086"/>
      <c r="T20" s="1086"/>
      <c r="U20" s="1086"/>
      <c r="V20" s="1086"/>
      <c r="W20" s="1086"/>
      <c r="Y20" s="1120">
        <v>82.0</v>
      </c>
      <c r="Z20" s="1121">
        <f t="shared" si="3"/>
        <v>1.1958048780487807</v>
      </c>
      <c r="AA20" s="1156">
        <f t="shared" si="15"/>
        <v>7.499999999999993</v>
      </c>
      <c r="AB20" s="1120">
        <f t="shared" si="21" ref="AB20:AB83">LOOKUP($B$1,$AH$16:$AP$16,AH20:AP20)</f>
        <v>9.425</v>
      </c>
      <c r="AC20" s="1164"/>
      <c r="AD20" s="1089"/>
      <c r="AF20" s="1165">
        <f t="shared" si="16"/>
        <v>10.499999999999991</v>
      </c>
      <c r="AG20" s="1158">
        <f t="shared" si="17"/>
        <v>7.499999999999993</v>
      </c>
      <c r="AH20" s="1066">
        <f t="shared" si="4"/>
        <v>9.425</v>
      </c>
      <c r="AI20" s="1159">
        <f t="shared" si="18"/>
        <v>9.775</v>
      </c>
      <c r="AJ20" s="1132">
        <f t="shared" si="5"/>
        <v>10.125</v>
      </c>
      <c r="AK20" s="1159">
        <f t="shared" si="18"/>
        <v>10.5</v>
      </c>
      <c r="AL20" s="1160">
        <f t="shared" si="6"/>
        <v>10.874999999999998</v>
      </c>
      <c r="AM20" s="1161">
        <f t="shared" si="7"/>
        <v>11.35</v>
      </c>
      <c r="AN20" s="1159">
        <f t="shared" si="10"/>
        <v>11.725</v>
      </c>
      <c r="AO20" s="1161">
        <f t="shared" si="8"/>
        <v>12.1</v>
      </c>
      <c r="AP20" s="1159">
        <f t="shared" si="11"/>
        <v>12.525</v>
      </c>
      <c r="AQ20" s="1136"/>
      <c r="AR20" s="1066">
        <f t="shared" si="19"/>
        <v>0.6999999999999993</v>
      </c>
      <c r="AS20" s="1084">
        <f t="shared" si="9"/>
        <v>0.749999999999999</v>
      </c>
      <c r="AT20" s="1149">
        <f t="shared" si="20"/>
        <v>0.8</v>
      </c>
      <c r="AW20" s="1162">
        <v>9.4</v>
      </c>
      <c r="AX20" s="1162">
        <v>10.1</v>
      </c>
      <c r="AY20" s="1162">
        <v>11.2</v>
      </c>
      <c r="AZ20" s="1162">
        <v>11.9</v>
      </c>
      <c r="BA20" s="1150">
        <f t="shared" si="12"/>
        <v>10.499999999999991</v>
      </c>
      <c r="BB20" s="1151"/>
      <c r="BD20" s="1152"/>
    </row>
    <row r="21" spans="8:8" ht="15.0">
      <c r="A21" s="1065">
        <f t="shared" si="1"/>
        <v>0.07777777777777818</v>
      </c>
      <c r="B21" s="1073">
        <f t="shared" si="0"/>
        <v>10.888888888888946</v>
      </c>
      <c r="D21" s="1085"/>
      <c r="E21" s="1086"/>
      <c r="F21" s="1086"/>
      <c r="G21" s="1086"/>
      <c r="H21" s="1086"/>
      <c r="I21" s="1086"/>
      <c r="J21" s="1086"/>
      <c r="K21" s="1088">
        <v>80.0</v>
      </c>
      <c r="L21" s="1122">
        <f t="shared" si="2"/>
        <v>1.22</v>
      </c>
      <c r="M21" s="1156">
        <f t="shared" si="13"/>
        <v>8.333333333333323</v>
      </c>
      <c r="N21" s="1120">
        <f t="shared" si="14"/>
        <v>10.525</v>
      </c>
      <c r="O21" s="1164"/>
      <c r="P21" s="1089"/>
      <c r="Q21" s="1080"/>
      <c r="R21" s="1088"/>
      <c r="S21" s="1086"/>
      <c r="T21" s="1086"/>
      <c r="U21" s="1086"/>
      <c r="V21" s="1086"/>
      <c r="W21" s="1086"/>
      <c r="Y21" s="1120">
        <v>80.0</v>
      </c>
      <c r="Z21" s="1121">
        <f t="shared" si="3"/>
        <v>1.22</v>
      </c>
      <c r="AA21" s="1156">
        <f t="shared" si="15"/>
        <v>8.333333333333323</v>
      </c>
      <c r="AB21" s="1120">
        <f>LOOKUP($B$1,$AH$16:$AP$16,AH21:AP21)</f>
        <v>10.525</v>
      </c>
      <c r="AC21" s="1164"/>
      <c r="AD21" s="1089"/>
      <c r="AF21" s="1157">
        <f t="shared" si="16"/>
        <v>11.666666666666652</v>
      </c>
      <c r="AG21" s="1158">
        <f t="shared" si="17"/>
        <v>8.333333333333323</v>
      </c>
      <c r="AH21" s="1066">
        <f t="shared" si="4"/>
        <v>10.525</v>
      </c>
      <c r="AI21" s="1159">
        <f t="shared" si="18"/>
        <v>10.875</v>
      </c>
      <c r="AJ21" s="1132">
        <f t="shared" si="5"/>
        <v>11.225</v>
      </c>
      <c r="AK21" s="1159">
        <f t="shared" si="18"/>
        <v>11.599999999999998</v>
      </c>
      <c r="AL21" s="1160">
        <f t="shared" si="6"/>
        <v>11.974999999999998</v>
      </c>
      <c r="AM21" s="1161">
        <f t="shared" si="7"/>
        <v>12.55</v>
      </c>
      <c r="AN21" s="1159">
        <f t="shared" si="10"/>
        <v>12.975</v>
      </c>
      <c r="AO21" s="1161">
        <f t="shared" si="8"/>
        <v>13.399999999999999</v>
      </c>
      <c r="AP21" s="1159">
        <f t="shared" si="11"/>
        <v>13.874999999999998</v>
      </c>
      <c r="AQ21" s="1136"/>
      <c r="AR21" s="1066">
        <f t="shared" si="19"/>
        <v>0.6999999999999993</v>
      </c>
      <c r="AS21" s="1084">
        <f t="shared" si="9"/>
        <v>0.749999999999999</v>
      </c>
      <c r="AT21" s="1149">
        <f t="shared" si="20"/>
        <v>0.899999999999998</v>
      </c>
      <c r="AW21" s="1162">
        <v>10.5</v>
      </c>
      <c r="AX21" s="1162">
        <v>11.2</v>
      </c>
      <c r="AY21" s="1162">
        <v>12.4</v>
      </c>
      <c r="AZ21" s="1162">
        <v>13.2</v>
      </c>
      <c r="BA21" s="1150">
        <f t="shared" si="12"/>
        <v>11.666666666666652</v>
      </c>
      <c r="BB21" s="1151"/>
      <c r="BD21" s="1152"/>
    </row>
    <row r="22" spans="8:8" ht="15.0">
      <c r="A22" s="1065">
        <f t="shared" si="1"/>
        <v>0.08055555555555598</v>
      </c>
      <c r="B22" s="1073">
        <f t="shared" si="0"/>
        <v>11.277777777777837</v>
      </c>
      <c r="D22" s="1085"/>
      <c r="E22" s="1166" t="s">
        <v>126</v>
      </c>
      <c r="F22" s="1166" t="s">
        <v>7</v>
      </c>
      <c r="G22" s="1166" t="s">
        <v>13</v>
      </c>
      <c r="H22" s="1086"/>
      <c r="I22" s="1086"/>
      <c r="J22" s="1086"/>
      <c r="K22" s="1118">
        <v>75.0</v>
      </c>
      <c r="L22" s="1167">
        <f t="shared" si="2"/>
        <v>1.2833333333333332</v>
      </c>
      <c r="M22" s="1156">
        <f t="shared" si="13"/>
        <v>9.166666666666654</v>
      </c>
      <c r="N22" s="1120">
        <f t="shared" si="14"/>
        <v>11.525</v>
      </c>
      <c r="O22" s="1164"/>
      <c r="P22" s="1089"/>
      <c r="Q22" s="1080"/>
      <c r="R22" s="1088"/>
      <c r="S22" s="1166" t="s">
        <v>126</v>
      </c>
      <c r="T22" s="1166" t="s">
        <v>7</v>
      </c>
      <c r="U22" s="1166" t="s">
        <v>13</v>
      </c>
      <c r="V22" s="1086"/>
      <c r="W22" s="1086"/>
      <c r="Y22" s="1168">
        <v>75.0</v>
      </c>
      <c r="Z22" s="1121">
        <f t="shared" si="3"/>
        <v>1.2833333333333332</v>
      </c>
      <c r="AA22" s="1156">
        <f t="shared" si="15"/>
        <v>9.166666666666654</v>
      </c>
      <c r="AB22" s="1120">
        <f>LOOKUP($B$1,$AH$16:$AP$16,AH22:AP22)</f>
        <v>11.525</v>
      </c>
      <c r="AC22" s="1164"/>
      <c r="AD22" s="1089"/>
      <c r="AF22" s="1157">
        <f t="shared" si="16"/>
        <v>12.833333333333314</v>
      </c>
      <c r="AG22" s="1158">
        <f t="shared" si="17"/>
        <v>9.166666666666654</v>
      </c>
      <c r="AH22" s="1066">
        <f t="shared" si="4"/>
        <v>11.525</v>
      </c>
      <c r="AI22" s="1159">
        <f t="shared" si="18"/>
        <v>11.925</v>
      </c>
      <c r="AJ22" s="1132">
        <f t="shared" si="5"/>
        <v>12.325000000000001</v>
      </c>
      <c r="AK22" s="1159">
        <f t="shared" si="18"/>
        <v>12.75</v>
      </c>
      <c r="AL22" s="1160">
        <f t="shared" si="6"/>
        <v>13.174999999999999</v>
      </c>
      <c r="AM22" s="1161">
        <f t="shared" si="7"/>
        <v>13.75</v>
      </c>
      <c r="AN22" s="1159">
        <f t="shared" si="10"/>
        <v>14.225</v>
      </c>
      <c r="AO22" s="1161">
        <f t="shared" si="8"/>
        <v>14.7</v>
      </c>
      <c r="AP22" s="1159">
        <f t="shared" si="11"/>
        <v>15.224999999999998</v>
      </c>
      <c r="AQ22" s="1136"/>
      <c r="AR22" s="1066">
        <f t="shared" si="19"/>
        <v>0.7999999999999989</v>
      </c>
      <c r="AS22" s="1084">
        <f t="shared" si="9"/>
        <v>0.8499999999999991</v>
      </c>
      <c r="AT22" s="1149">
        <f t="shared" si="20"/>
        <v>0.999999999999999</v>
      </c>
      <c r="AW22" s="1162">
        <v>11.5</v>
      </c>
      <c r="AX22" s="1162">
        <v>12.3</v>
      </c>
      <c r="AY22" s="1162">
        <v>13.6</v>
      </c>
      <c r="AZ22" s="1162">
        <v>14.5</v>
      </c>
      <c r="BA22" s="1150">
        <f t="shared" si="12"/>
        <v>12.833333333333314</v>
      </c>
      <c r="BB22" s="1151"/>
      <c r="BD22" s="1152"/>
    </row>
    <row r="23" spans="8:8" ht="15.0">
      <c r="A23" s="1065">
        <f t="shared" si="1"/>
        <v>0.08333333333333379</v>
      </c>
      <c r="B23" s="1073">
        <f t="shared" si="0"/>
        <v>11.66666666666673</v>
      </c>
      <c r="D23" s="1085"/>
      <c r="E23" s="1166">
        <v>5.0</v>
      </c>
      <c r="F23" s="1169">
        <v>1.55</v>
      </c>
      <c r="G23" s="1169">
        <v>1.25</v>
      </c>
      <c r="H23" s="1086"/>
      <c r="I23" s="1086"/>
      <c r="J23" s="1086"/>
      <c r="K23" s="1086"/>
      <c r="L23" s="1107">
        <f>INDEX(L13:L22,MATCH(E12,K13:K22,0))</f>
        <v>1.0</v>
      </c>
      <c r="M23" s="1170">
        <f t="shared" si="13"/>
        <v>9.999999999999982</v>
      </c>
      <c r="N23" s="1120">
        <f t="shared" si="14"/>
        <v>12.525</v>
      </c>
      <c r="O23" s="656">
        <f>M21*($H$18-N22)*($H$18-N23)*($H$18-N24)*($H$18-N25)/((N21-N22)*(N21-N23)*(N21-N24)*(N21-N25))+M22*($H$18-N21)*($H$18-N23)*($H$18-N24)*($H$18-N25)/((N22-N21)*(N22-N23)*(N22-N24)*(N22-N25))+M23*($H$18-N21)*($H$18-N22)*($H$18-N24)*($H$18-N25)/((N23-N21)*(N23-N22)*(N23-N24)*(N23-N25))+M24*($H$18-N21)*($H$18-N22)*($H$18-N23)*($H$18-N25)/((N24-N21)*(N24-N22)*(N24-N23)*(N24-N25))+M25*($H$18-N21)*($H$18-N22)*($H$18-N23)*($H$18-N24)/((N25-N21)*(N25-N22)*(N25-N23)*(N25-N24))</f>
        <v>-4.680721297175002E7</v>
      </c>
      <c r="P23" s="1089"/>
      <c r="Q23" s="1080"/>
      <c r="R23" s="1088"/>
      <c r="S23" s="1166">
        <v>5.0</v>
      </c>
      <c r="T23" s="1166">
        <f t="shared" si="22" ref="T23:U34">F23</f>
        <v>1.55</v>
      </c>
      <c r="U23" s="1166">
        <f t="shared" si="22"/>
        <v>1.25</v>
      </c>
      <c r="V23" s="1086"/>
      <c r="W23" s="1086"/>
      <c r="Y23" s="1086"/>
      <c r="Z23" s="1107">
        <f>INDEX(Z13:Z22,MATCH(S12,Y13:Y22,0))</f>
        <v>1.0</v>
      </c>
      <c r="AA23" s="1156">
        <f t="shared" si="15"/>
        <v>9.999999999999982</v>
      </c>
      <c r="AB23" s="1120">
        <f>LOOKUP($B$1,$AH$16:$AP$16,AH23:AP23)</f>
        <v>12.525</v>
      </c>
      <c r="AC23" s="656">
        <f>AA21*($V$18-AB22)*($V$18-AB23)*($V$18-AB24)*($V$18-AB25)/((AB21-AB22)*(AB21-AB23)*(AB21-AB24)*(AB21-AB25))+AA22*($V$18-AB21)*($V$18-AB23)*($V$18-AB24)*($V$18-AB25)/((AB22-AB21)*(AB22-AB23)*(AB22-AB24)*(AB22-AB25))+AA23*($V$18-AB21)*($V$18-AB22)*($V$18-AB24)*($V$18-AB25)/((AB23-AB21)*(AB23-AB22)*(AB23-AB24)*(AB23-AB25))+AA24*($V$18-AB21)*($V$18-AB22)*($V$18-AB23)*($V$18-AB25)/((AB24-AB21)*(AB24-AB22)*(AB24-AB23)*(AB24-AB25))+AA25*($V$18-AB21)*($V$18-AB22)*($V$18-AB23)*($V$18-AB24)/((AB25-AB21)*(AB25-AB22)*(AB25-AB23)*(AB25-AB24))</f>
        <v>-5.593036298475981E7</v>
      </c>
      <c r="AD23" s="1089"/>
      <c r="AF23" s="1171">
        <f t="shared" si="16"/>
        <v>13.999999999999975</v>
      </c>
      <c r="AG23" s="1158">
        <f t="shared" si="17"/>
        <v>9.999999999999982</v>
      </c>
      <c r="AH23" s="1143">
        <f t="shared" si="4"/>
        <v>12.525</v>
      </c>
      <c r="AI23" s="1147">
        <f t="shared" si="18"/>
        <v>12.925</v>
      </c>
      <c r="AJ23" s="1172">
        <f t="shared" si="5"/>
        <v>13.325000000000001</v>
      </c>
      <c r="AK23" s="1147">
        <f t="shared" si="18"/>
        <v>13.75</v>
      </c>
      <c r="AL23" s="1172">
        <f t="shared" si="6"/>
        <v>14.174999999999999</v>
      </c>
      <c r="AM23" s="1147">
        <f t="shared" si="7"/>
        <v>14.85</v>
      </c>
      <c r="AN23" s="1147">
        <f t="shared" si="10"/>
        <v>15.375</v>
      </c>
      <c r="AO23" s="1147">
        <f t="shared" si="8"/>
        <v>15.899999999999999</v>
      </c>
      <c r="AP23" s="1147">
        <f t="shared" si="11"/>
        <v>16.475</v>
      </c>
      <c r="AQ23" s="1136"/>
      <c r="AR23" s="1066">
        <f t="shared" si="19"/>
        <v>0.7999999999999989</v>
      </c>
      <c r="AS23" s="1084">
        <f t="shared" si="9"/>
        <v>0.8499999999999991</v>
      </c>
      <c r="AT23" s="1149">
        <f t="shared" si="20"/>
        <v>1.1</v>
      </c>
      <c r="AW23" s="1172">
        <v>12.5</v>
      </c>
      <c r="AX23" s="1172">
        <v>13.3</v>
      </c>
      <c r="AY23" s="1172">
        <v>14.7</v>
      </c>
      <c r="AZ23" s="1172">
        <v>15.7</v>
      </c>
      <c r="BA23" s="1150">
        <f t="shared" si="12"/>
        <v>13.999999999999975</v>
      </c>
      <c r="BB23" s="1151"/>
      <c r="BD23" s="1152"/>
    </row>
    <row r="24" spans="8:8" ht="15.0">
      <c r="A24" s="1065">
        <f t="shared" si="1"/>
        <v>0.08611111111111158</v>
      </c>
      <c r="B24" s="1073">
        <f t="shared" si="0"/>
        <v>12.055555555555621</v>
      </c>
      <c r="D24" s="1085"/>
      <c r="E24" s="1166">
        <v>10.0</v>
      </c>
      <c r="F24" s="1169">
        <v>1.55</v>
      </c>
      <c r="G24" s="1169">
        <v>1.25</v>
      </c>
      <c r="H24" s="1086"/>
      <c r="I24" s="1086"/>
      <c r="J24" s="1086"/>
      <c r="K24" s="1086" t="s">
        <v>83</v>
      </c>
      <c r="L24" s="1086"/>
      <c r="M24" s="1170">
        <f t="shared" si="13"/>
        <v>10.833333333333314</v>
      </c>
      <c r="N24" s="1120">
        <f t="shared" si="14"/>
        <v>13.425</v>
      </c>
      <c r="O24" s="1164"/>
      <c r="P24" s="1089"/>
      <c r="Q24" s="1080"/>
      <c r="R24" s="1088"/>
      <c r="S24" s="1166">
        <v>10.0</v>
      </c>
      <c r="T24" s="1166">
        <f t="shared" si="22"/>
        <v>1.55</v>
      </c>
      <c r="U24" s="1166">
        <f t="shared" si="22"/>
        <v>1.25</v>
      </c>
      <c r="V24" s="1086"/>
      <c r="W24" s="1086"/>
      <c r="Y24" s="1086" t="s">
        <v>83</v>
      </c>
      <c r="Z24" s="1086"/>
      <c r="AA24" s="1170">
        <f t="shared" si="15"/>
        <v>10.833333333333314</v>
      </c>
      <c r="AB24" s="1120">
        <f>LOOKUP($B$1,$AH$16:$AP$16,AH24:AP24)</f>
        <v>13.425</v>
      </c>
      <c r="AC24" s="1164"/>
      <c r="AD24" s="1089"/>
      <c r="AF24" s="1157">
        <f t="shared" si="16"/>
        <v>15.16666666666664</v>
      </c>
      <c r="AG24" s="1158">
        <f t="shared" si="17"/>
        <v>10.833333333333314</v>
      </c>
      <c r="AH24" s="1066">
        <f t="shared" si="4"/>
        <v>13.425</v>
      </c>
      <c r="AI24" s="1159">
        <f t="shared" si="18"/>
        <v>13.925</v>
      </c>
      <c r="AJ24" s="1132">
        <f t="shared" si="5"/>
        <v>14.425</v>
      </c>
      <c r="AK24" s="1159">
        <f t="shared" si="18"/>
        <v>14.950000000000001</v>
      </c>
      <c r="AL24" s="1160">
        <f t="shared" si="6"/>
        <v>15.475000000000001</v>
      </c>
      <c r="AM24" s="1161">
        <f t="shared" si="7"/>
        <v>16.05</v>
      </c>
      <c r="AN24" s="1159">
        <f t="shared" si="10"/>
        <v>16.575</v>
      </c>
      <c r="AO24" s="1161">
        <f t="shared" si="8"/>
        <v>17.099999999999998</v>
      </c>
      <c r="AP24" s="1159">
        <f t="shared" si="11"/>
        <v>17.675</v>
      </c>
      <c r="AQ24" s="1136"/>
      <c r="AR24" s="1066">
        <f t="shared" si="19"/>
        <v>1.0</v>
      </c>
      <c r="AS24" s="1084">
        <f t="shared" si="9"/>
        <v>1.05</v>
      </c>
      <c r="AT24" s="1149">
        <f t="shared" si="20"/>
        <v>1.1</v>
      </c>
      <c r="AW24" s="1162">
        <v>13.4</v>
      </c>
      <c r="AX24" s="1162">
        <v>14.4</v>
      </c>
      <c r="AY24" s="1162">
        <v>15.9</v>
      </c>
      <c r="AZ24" s="1162">
        <v>16.9</v>
      </c>
      <c r="BA24" s="1150">
        <f t="shared" si="12"/>
        <v>15.16666666666664</v>
      </c>
      <c r="BB24" s="1151"/>
      <c r="BD24" s="1152"/>
    </row>
    <row r="25" spans="8:8" ht="15.0">
      <c r="A25" s="1065">
        <f t="shared" si="1"/>
        <v>0.08888888888888938</v>
      </c>
      <c r="B25" s="1073">
        <f t="shared" si="0"/>
        <v>12.444444444444512</v>
      </c>
      <c r="D25" s="1085"/>
      <c r="E25" s="1166">
        <v>15.0</v>
      </c>
      <c r="F25" s="1169">
        <v>1.55</v>
      </c>
      <c r="G25" s="1169">
        <v>1.23</v>
      </c>
      <c r="H25" s="1086"/>
      <c r="I25" s="1086"/>
      <c r="J25" s="1105">
        <f t="shared" si="23" ref="J25:J30">ABS(K25-$H$18)</f>
        <v>247.6360551454594</v>
      </c>
      <c r="K25" s="1079">
        <v>10.0</v>
      </c>
      <c r="L25" s="1079">
        <v>0.017</v>
      </c>
      <c r="M25" s="1170">
        <f t="shared" si="13"/>
        <v>11.666666666666632</v>
      </c>
      <c r="N25" s="1120">
        <f t="shared" si="14"/>
        <v>14.425</v>
      </c>
      <c r="O25" s="1164"/>
      <c r="P25" s="1089"/>
      <c r="Q25" s="1080"/>
      <c r="R25" s="1088"/>
      <c r="S25" s="1166">
        <v>15.0</v>
      </c>
      <c r="T25" s="1166">
        <f t="shared" si="22"/>
        <v>1.55</v>
      </c>
      <c r="U25" s="1166">
        <f t="shared" si="22"/>
        <v>1.23</v>
      </c>
      <c r="V25" s="1086"/>
      <c r="W25" s="1086"/>
      <c r="X25" s="1105">
        <f t="shared" si="24" ref="X25:X30">ABS(Y25-$V$18)</f>
        <v>258.80294485454056</v>
      </c>
      <c r="Y25" s="1079">
        <v>10.0</v>
      </c>
      <c r="Z25" s="1079">
        <v>0.017</v>
      </c>
      <c r="AA25" s="1170">
        <f t="shared" si="15"/>
        <v>11.666666666666632</v>
      </c>
      <c r="AB25" s="1120">
        <f t="shared" si="21"/>
        <v>14.425</v>
      </c>
      <c r="AC25" s="1164"/>
      <c r="AD25" s="1089"/>
      <c r="AF25" s="1157">
        <f t="shared" si="16"/>
        <v>16.333333333333286</v>
      </c>
      <c r="AG25" s="1158">
        <f t="shared" si="17"/>
        <v>11.666666666666632</v>
      </c>
      <c r="AH25" s="1066">
        <f t="shared" si="4"/>
        <v>14.425</v>
      </c>
      <c r="AI25" s="1159">
        <f t="shared" si="18"/>
        <v>14.925</v>
      </c>
      <c r="AJ25" s="1132">
        <f t="shared" si="5"/>
        <v>15.425</v>
      </c>
      <c r="AK25" s="1159">
        <f t="shared" si="18"/>
        <v>15.950000000000001</v>
      </c>
      <c r="AL25" s="1160">
        <f t="shared" si="6"/>
        <v>16.475</v>
      </c>
      <c r="AM25" s="1161">
        <f t="shared" si="7"/>
        <v>17.15</v>
      </c>
      <c r="AN25" s="1159">
        <f t="shared" si="10"/>
        <v>17.725</v>
      </c>
      <c r="AO25" s="1161">
        <f t="shared" si="8"/>
        <v>18.3</v>
      </c>
      <c r="AP25" s="1159">
        <f t="shared" si="11"/>
        <v>18.925</v>
      </c>
      <c r="AQ25" s="1136"/>
      <c r="AR25" s="1066">
        <f t="shared" si="19"/>
        <v>1.0</v>
      </c>
      <c r="AS25" s="1084">
        <f t="shared" si="9"/>
        <v>1.05</v>
      </c>
      <c r="AT25" s="1149">
        <f t="shared" si="20"/>
        <v>1.2</v>
      </c>
      <c r="AW25" s="1162">
        <v>14.4</v>
      </c>
      <c r="AX25" s="1162">
        <v>15.4</v>
      </c>
      <c r="AY25" s="1162">
        <v>17.0</v>
      </c>
      <c r="AZ25" s="1162">
        <v>18.1</v>
      </c>
      <c r="BA25" s="1150">
        <f t="shared" si="12"/>
        <v>16.333333333333286</v>
      </c>
      <c r="BB25" s="1151"/>
      <c r="BD25" s="1152"/>
    </row>
    <row r="26" spans="8:8" ht="15.0">
      <c r="A26" s="1065">
        <f t="shared" si="1"/>
        <v>0.09166666666666719</v>
      </c>
      <c r="B26" s="1073">
        <f t="shared" si="0"/>
        <v>12.833333333333407</v>
      </c>
      <c r="D26" s="1085"/>
      <c r="E26" s="1166">
        <v>20.0</v>
      </c>
      <c r="F26" s="1169">
        <v>1.55</v>
      </c>
      <c r="G26" s="1169">
        <v>1.23</v>
      </c>
      <c r="H26" s="1086"/>
      <c r="I26" s="1086"/>
      <c r="J26" s="1120">
        <f t="shared" si="23"/>
        <v>237.6360551454594</v>
      </c>
      <c r="K26" s="1087">
        <v>20.0</v>
      </c>
      <c r="L26" s="1087">
        <v>0.034</v>
      </c>
      <c r="M26" s="1170">
        <f t="shared" si="13"/>
        <v>12.499999999999932</v>
      </c>
      <c r="N26" s="1120">
        <f t="shared" si="14"/>
        <v>15.425</v>
      </c>
      <c r="O26" s="1164"/>
      <c r="P26" s="1089"/>
      <c r="Q26" s="1080"/>
      <c r="R26" s="1088"/>
      <c r="S26" s="1166">
        <v>20.0</v>
      </c>
      <c r="T26" s="1166">
        <f t="shared" si="22"/>
        <v>1.55</v>
      </c>
      <c r="U26" s="1166">
        <f t="shared" si="22"/>
        <v>1.23</v>
      </c>
      <c r="V26" s="1086"/>
      <c r="W26" s="1086"/>
      <c r="X26" s="1120">
        <f t="shared" si="24"/>
        <v>248.80294485454056</v>
      </c>
      <c r="Y26" s="1087">
        <v>20.0</v>
      </c>
      <c r="Z26" s="1087">
        <v>0.034</v>
      </c>
      <c r="AA26" s="1170">
        <f t="shared" si="15"/>
        <v>12.499999999999932</v>
      </c>
      <c r="AB26" s="1120">
        <f t="shared" si="21"/>
        <v>15.425</v>
      </c>
      <c r="AC26" s="1164"/>
      <c r="AD26" s="1089"/>
      <c r="AF26" s="1165">
        <f t="shared" si="16"/>
        <v>17.499999999999904</v>
      </c>
      <c r="AG26" s="1158">
        <f t="shared" si="17"/>
        <v>12.499999999999932</v>
      </c>
      <c r="AH26" s="1066">
        <f t="shared" si="4"/>
        <v>15.425</v>
      </c>
      <c r="AI26" s="1159">
        <f t="shared" si="18"/>
        <v>15.975</v>
      </c>
      <c r="AJ26" s="1132">
        <f t="shared" si="5"/>
        <v>16.525</v>
      </c>
      <c r="AK26" s="1159">
        <f t="shared" si="18"/>
        <v>17.099999999999998</v>
      </c>
      <c r="AL26" s="1160">
        <f t="shared" si="6"/>
        <v>17.674999999999997</v>
      </c>
      <c r="AM26" s="1161">
        <f t="shared" si="7"/>
        <v>18.349999999999998</v>
      </c>
      <c r="AN26" s="1159">
        <f t="shared" si="10"/>
        <v>18.924999999999997</v>
      </c>
      <c r="AO26" s="1161">
        <f t="shared" si="8"/>
        <v>19.5</v>
      </c>
      <c r="AP26" s="1159">
        <f t="shared" si="11"/>
        <v>20.125</v>
      </c>
      <c r="AQ26" s="1136"/>
      <c r="AR26" s="1066">
        <f t="shared" si="19"/>
        <v>1.0999999999999979</v>
      </c>
      <c r="AS26" s="1084">
        <f t="shared" si="9"/>
        <v>1.1500000000000001</v>
      </c>
      <c r="AT26" s="1149">
        <f t="shared" si="20"/>
        <v>1.2</v>
      </c>
      <c r="AW26" s="1162">
        <v>15.4</v>
      </c>
      <c r="AX26" s="1162">
        <v>16.5</v>
      </c>
      <c r="AY26" s="1162">
        <v>18.2</v>
      </c>
      <c r="AZ26" s="1162">
        <v>19.3</v>
      </c>
      <c r="BA26" s="1150">
        <f t="shared" si="12"/>
        <v>17.499999999999904</v>
      </c>
      <c r="BB26" s="1151"/>
      <c r="BD26" s="1152"/>
    </row>
    <row r="27" spans="8:8" ht="15.0">
      <c r="A27" s="1065">
        <f t="shared" si="1"/>
        <v>0.09444444444444498</v>
      </c>
      <c r="B27" s="1073">
        <f t="shared" si="0"/>
        <v>13.222222222222298</v>
      </c>
      <c r="D27" s="1085"/>
      <c r="E27" s="1166">
        <v>25.0</v>
      </c>
      <c r="F27" s="1169">
        <v>1.54</v>
      </c>
      <c r="G27" s="1169">
        <v>1.21</v>
      </c>
      <c r="H27" s="1086"/>
      <c r="I27" s="1086"/>
      <c r="J27" s="1120">
        <f t="shared" si="23"/>
        <v>227.6360551454594</v>
      </c>
      <c r="K27" s="1087">
        <v>30.0</v>
      </c>
      <c r="L27" s="1087">
        <v>0.05</v>
      </c>
      <c r="M27" s="1170">
        <f t="shared" si="13"/>
        <v>13.333333333333233</v>
      </c>
      <c r="N27" s="1120">
        <f t="shared" si="14"/>
        <v>16.325</v>
      </c>
      <c r="O27" s="656">
        <f>M25*($H$18-N26)*($H$18-N27)*($H$18-N28)*($H$18-N29)/((N25-N26)*(N25-N27)*(N25-N28)*(N25-N29))+M26*($H$18-N25)*($H$18-N27)*($H$18-N28)*($H$18-N29)/((N26-N25)*(N26-N27)*(N26-N28)*(N26-N29))+M27*($H$18-N25)*($H$18-N26)*($H$18-N28)*($H$18-N29)/((N27-N25)*(N27-N26)*(N27-N28)*(N27-N29))+M28*($H$18-N25)*($H$18-N26)*($H$18-N27)*($H$18-N29)/((N28-N25)*(N28-N26)*(N28-N27)*(N28-N29))+M29*($H$18-N25)*($H$18-N26)*($H$18-N27)*($H$18-N28)/((N29-N25)*(N29-N26)*(N29-N27)*(N29-N28))</f>
        <v>4.368334014048958E7</v>
      </c>
      <c r="P27" s="1089"/>
      <c r="Q27" s="1080"/>
      <c r="R27" s="1088"/>
      <c r="S27" s="1166">
        <v>25.0</v>
      </c>
      <c r="T27" s="1166">
        <f t="shared" si="22"/>
        <v>1.54</v>
      </c>
      <c r="U27" s="1166">
        <f t="shared" si="22"/>
        <v>1.21</v>
      </c>
      <c r="V27" s="1086"/>
      <c r="W27" s="1086"/>
      <c r="X27" s="1120">
        <f t="shared" si="24"/>
        <v>238.80294485454056</v>
      </c>
      <c r="Y27" s="1087">
        <v>30.0</v>
      </c>
      <c r="Z27" s="1087">
        <v>0.05</v>
      </c>
      <c r="AA27" s="1170">
        <f t="shared" si="15"/>
        <v>13.333333333333233</v>
      </c>
      <c r="AB27" s="1120">
        <f t="shared" si="21"/>
        <v>16.325</v>
      </c>
      <c r="AC27" s="656">
        <f>AA25*($V$18-AB26)*($V$18-AB27)*($V$18-AB28)*($V$18-AB29)/((AB25-AB26)*(AB25-AB27)*(AB25-AB28)*(AB25-AB29))+AA26*($V$18-AB25)*($V$18-AB27)*($V$18-AB28)*($V$18-AB29)/((AB26-AB25)*(AB26-AB27)*(AB26-AB28)*(AB26-AB29))+AA27*($V$18-AB25)*($V$18-AB26)*($V$18-AB28)*($V$18-AB29)/((AB27-AB25)*(AB27-AB26)*(AB27-AB28)*(AB27-AB29))+AA28*($V$18-AB25)*($V$18-AB26)*($V$18-AB27)*($V$18-AB29)/((AB28-AB25)*(AB28-AB26)*(AB28-AB27)*(AB28-AB29))+AA29*($V$18-AB25)*($V$18-AB26)*($V$18-AB27)*($V$18-AB28)/((AB29-AB25)*(AB29-AB26)*(AB29-AB27)*(AB29-AB28))</f>
        <v>5.235610452575016E7</v>
      </c>
      <c r="AD27" s="1089"/>
      <c r="AF27" s="1157">
        <f t="shared" si="16"/>
        <v>18.666666666666526</v>
      </c>
      <c r="AG27" s="1158">
        <f t="shared" si="17"/>
        <v>13.333333333333233</v>
      </c>
      <c r="AH27" s="1066">
        <f t="shared" si="4"/>
        <v>16.325</v>
      </c>
      <c r="AI27" s="1159">
        <f t="shared" si="18"/>
        <v>16.924999999999997</v>
      </c>
      <c r="AJ27" s="1132">
        <f t="shared" si="5"/>
        <v>17.525</v>
      </c>
      <c r="AK27" s="1159">
        <f t="shared" si="18"/>
        <v>18.15</v>
      </c>
      <c r="AL27" s="1160">
        <f t="shared" si="6"/>
        <v>18.775</v>
      </c>
      <c r="AM27" s="1161">
        <f t="shared" si="7"/>
        <v>19.45</v>
      </c>
      <c r="AN27" s="1159">
        <f t="shared" si="10"/>
        <v>20.075</v>
      </c>
      <c r="AO27" s="1161">
        <f t="shared" si="8"/>
        <v>20.7</v>
      </c>
      <c r="AP27" s="1159">
        <f t="shared" si="11"/>
        <v>21.375</v>
      </c>
      <c r="AQ27" s="1136"/>
      <c r="AR27" s="1066">
        <f t="shared" si="19"/>
        <v>1.1999999999999993</v>
      </c>
      <c r="AS27" s="1084">
        <f t="shared" si="9"/>
        <v>1.25</v>
      </c>
      <c r="AT27" s="1149">
        <f t="shared" si="20"/>
        <v>1.3</v>
      </c>
      <c r="AW27" s="1162">
        <v>16.3</v>
      </c>
      <c r="AX27" s="1162">
        <v>17.5</v>
      </c>
      <c r="AY27" s="1162">
        <v>19.3</v>
      </c>
      <c r="AZ27" s="1162">
        <v>20.5</v>
      </c>
      <c r="BA27" s="1150">
        <f t="shared" si="12"/>
        <v>18.666666666666526</v>
      </c>
      <c r="BB27" s="1151"/>
      <c r="BD27" s="1152"/>
    </row>
    <row r="28" spans="8:8" ht="15.0">
      <c r="A28" s="1065">
        <f t="shared" si="1"/>
        <v>0.09722222222222278</v>
      </c>
      <c r="B28" s="1073">
        <f t="shared" si="0"/>
        <v>13.611111111111189</v>
      </c>
      <c r="D28" s="1085"/>
      <c r="E28" s="1166">
        <v>30.0</v>
      </c>
      <c r="F28" s="1169">
        <v>1.54</v>
      </c>
      <c r="G28" s="1169">
        <v>1.21</v>
      </c>
      <c r="H28" s="1086"/>
      <c r="I28" s="1086"/>
      <c r="J28" s="1120">
        <f t="shared" si="23"/>
        <v>217.6360551454594</v>
      </c>
      <c r="K28" s="1087">
        <v>40.0</v>
      </c>
      <c r="L28" s="1087">
        <v>0.067</v>
      </c>
      <c r="M28" s="1170">
        <f t="shared" si="13"/>
        <v>14.166666666666533</v>
      </c>
      <c r="N28" s="1120">
        <f t="shared" si="14"/>
        <v>17.325</v>
      </c>
      <c r="O28" s="1164"/>
      <c r="P28" s="1089"/>
      <c r="Q28" s="1080"/>
      <c r="R28" s="1088"/>
      <c r="S28" s="1166">
        <v>30.0</v>
      </c>
      <c r="T28" s="1166">
        <f t="shared" si="22"/>
        <v>1.54</v>
      </c>
      <c r="U28" s="1166">
        <f t="shared" si="22"/>
        <v>1.21</v>
      </c>
      <c r="V28" s="1086"/>
      <c r="W28" s="1086"/>
      <c r="X28" s="1120">
        <f t="shared" si="24"/>
        <v>228.80294485454056</v>
      </c>
      <c r="Y28" s="1087">
        <v>40.0</v>
      </c>
      <c r="Z28" s="1087">
        <v>0.067</v>
      </c>
      <c r="AA28" s="1170">
        <f t="shared" si="15"/>
        <v>14.166666666666533</v>
      </c>
      <c r="AB28" s="1120">
        <f t="shared" si="21"/>
        <v>17.325</v>
      </c>
      <c r="AC28" s="1164"/>
      <c r="AD28" s="1089"/>
      <c r="AF28" s="1157">
        <f t="shared" si="16"/>
        <v>19.833333333333147</v>
      </c>
      <c r="AG28" s="1158">
        <f t="shared" si="17"/>
        <v>14.166666666666533</v>
      </c>
      <c r="AH28" s="1066">
        <f t="shared" si="4"/>
        <v>17.325</v>
      </c>
      <c r="AI28" s="1159">
        <f t="shared" si="18"/>
        <v>17.924999999999997</v>
      </c>
      <c r="AJ28" s="1132">
        <f t="shared" si="5"/>
        <v>18.525</v>
      </c>
      <c r="AK28" s="1159">
        <f t="shared" si="18"/>
        <v>19.15</v>
      </c>
      <c r="AL28" s="1160">
        <f t="shared" si="6"/>
        <v>19.775</v>
      </c>
      <c r="AM28" s="1161">
        <f t="shared" si="7"/>
        <v>20.549999999999997</v>
      </c>
      <c r="AN28" s="1159">
        <f t="shared" si="10"/>
        <v>21.224999999999998</v>
      </c>
      <c r="AO28" s="1161">
        <f t="shared" si="8"/>
        <v>21.9</v>
      </c>
      <c r="AP28" s="1159">
        <f t="shared" si="11"/>
        <v>22.625</v>
      </c>
      <c r="AQ28" s="1136"/>
      <c r="AR28" s="1066">
        <f t="shared" si="19"/>
        <v>1.1999999999999993</v>
      </c>
      <c r="AS28" s="1084">
        <f t="shared" si="9"/>
        <v>1.25</v>
      </c>
      <c r="AT28" s="1149">
        <f t="shared" si="20"/>
        <v>1.4000000000000001</v>
      </c>
      <c r="AW28" s="1162">
        <v>17.3</v>
      </c>
      <c r="AX28" s="1162">
        <v>18.5</v>
      </c>
      <c r="AY28" s="1162">
        <v>20.4</v>
      </c>
      <c r="AZ28" s="1162">
        <v>21.7</v>
      </c>
      <c r="BA28" s="1150">
        <f t="shared" si="12"/>
        <v>19.833333333333147</v>
      </c>
      <c r="BB28" s="1151"/>
      <c r="BD28" s="1152"/>
    </row>
    <row r="29" spans="8:8" ht="15.0">
      <c r="A29" s="1065">
        <f t="shared" si="1"/>
        <v>0.10000000000000059</v>
      </c>
      <c r="B29" s="1073">
        <f t="shared" si="0"/>
        <v>14.000000000000082</v>
      </c>
      <c r="D29" s="1085"/>
      <c r="E29" s="1166">
        <v>35.0</v>
      </c>
      <c r="F29" s="1169">
        <v>1.54</v>
      </c>
      <c r="G29" s="1169">
        <v>1.19</v>
      </c>
      <c r="H29" s="1086"/>
      <c r="I29" s="1086"/>
      <c r="J29" s="1120">
        <f t="shared" si="23"/>
        <v>207.6360551454594</v>
      </c>
      <c r="K29" s="1087">
        <v>50.0</v>
      </c>
      <c r="L29" s="1087">
        <v>0.084</v>
      </c>
      <c r="M29" s="1170">
        <f t="shared" si="13"/>
        <v>14.999999999999833</v>
      </c>
      <c r="N29" s="1120">
        <f t="shared" si="14"/>
        <v>18.325</v>
      </c>
      <c r="O29" s="1164"/>
      <c r="P29" s="1089"/>
      <c r="Q29" s="1080"/>
      <c r="R29" s="1088"/>
      <c r="S29" s="1166">
        <v>35.0</v>
      </c>
      <c r="T29" s="1166">
        <f t="shared" si="22"/>
        <v>1.54</v>
      </c>
      <c r="U29" s="1166">
        <f t="shared" si="22"/>
        <v>1.19</v>
      </c>
      <c r="V29" s="1086"/>
      <c r="W29" s="1086"/>
      <c r="X29" s="1120">
        <f t="shared" si="24"/>
        <v>218.80294485454056</v>
      </c>
      <c r="Y29" s="1087">
        <v>50.0</v>
      </c>
      <c r="Z29" s="1087">
        <v>0.084</v>
      </c>
      <c r="AA29" s="1170">
        <f t="shared" si="15"/>
        <v>14.999999999999833</v>
      </c>
      <c r="AB29" s="1120">
        <f t="shared" si="21"/>
        <v>18.325</v>
      </c>
      <c r="AC29" s="1164"/>
      <c r="AD29" s="1089"/>
      <c r="AF29" s="1171">
        <f t="shared" si="16"/>
        <v>20.99999999999977</v>
      </c>
      <c r="AG29" s="1158">
        <f t="shared" si="17"/>
        <v>14.999999999999833</v>
      </c>
      <c r="AH29" s="1143">
        <f t="shared" si="4"/>
        <v>18.325</v>
      </c>
      <c r="AI29" s="1147">
        <f t="shared" si="18"/>
        <v>18.924999999999997</v>
      </c>
      <c r="AJ29" s="1172">
        <f t="shared" si="5"/>
        <v>19.525</v>
      </c>
      <c r="AK29" s="1147">
        <f t="shared" si="18"/>
        <v>20.15</v>
      </c>
      <c r="AL29" s="1172">
        <f t="shared" si="6"/>
        <v>20.775</v>
      </c>
      <c r="AM29" s="1147">
        <f>AY29+AY$15</f>
        <v>21.65</v>
      </c>
      <c r="AN29" s="1147">
        <f t="shared" si="10"/>
        <v>22.375</v>
      </c>
      <c r="AO29" s="1147">
        <f t="shared" si="8"/>
        <v>23.099999999999998</v>
      </c>
      <c r="AP29" s="1147">
        <f t="shared" si="11"/>
        <v>23.875</v>
      </c>
      <c r="AQ29" s="1072"/>
      <c r="AR29" s="1066">
        <f t="shared" si="19"/>
        <v>1.1999999999999993</v>
      </c>
      <c r="AS29" s="1084">
        <f t="shared" si="9"/>
        <v>1.25</v>
      </c>
      <c r="AT29" s="1149">
        <f t="shared" si="20"/>
        <v>1.5</v>
      </c>
      <c r="AW29" s="1172">
        <v>18.3</v>
      </c>
      <c r="AX29" s="1172">
        <v>19.5</v>
      </c>
      <c r="AY29" s="1172">
        <v>21.5</v>
      </c>
      <c r="AZ29" s="1172">
        <v>22.9</v>
      </c>
      <c r="BA29" s="1150">
        <f t="shared" si="12"/>
        <v>20.99999999999977</v>
      </c>
      <c r="BB29" s="1151"/>
      <c r="BD29" s="1152"/>
    </row>
    <row r="30" spans="8:8" ht="15.0">
      <c r="A30" s="1065">
        <f t="shared" si="1"/>
        <v>0.10277777777777879</v>
      </c>
      <c r="B30" s="1073">
        <f t="shared" si="0"/>
        <v>14.38888888888903</v>
      </c>
      <c r="D30" s="1085"/>
      <c r="E30" s="1166">
        <v>40.0</v>
      </c>
      <c r="F30" s="1169">
        <v>1.53</v>
      </c>
      <c r="G30" s="1169">
        <v>1.19</v>
      </c>
      <c r="H30" s="1086"/>
      <c r="I30" s="1086"/>
      <c r="J30" s="1168">
        <f t="shared" si="23"/>
        <v>197.6360551454594</v>
      </c>
      <c r="K30" s="1119">
        <v>60.0</v>
      </c>
      <c r="L30" s="1119">
        <v>0.1</v>
      </c>
      <c r="M30" s="1170">
        <f t="shared" si="13"/>
        <v>15.833333333333133</v>
      </c>
      <c r="N30" s="1120">
        <f t="shared" si="14"/>
        <v>19.224999999999998</v>
      </c>
      <c r="O30" s="1164"/>
      <c r="P30" s="1089"/>
      <c r="Q30" s="1080"/>
      <c r="R30" s="1088"/>
      <c r="S30" s="1166">
        <v>40.0</v>
      </c>
      <c r="T30" s="1166">
        <f t="shared" si="22"/>
        <v>1.53</v>
      </c>
      <c r="U30" s="1166">
        <f t="shared" si="22"/>
        <v>1.19</v>
      </c>
      <c r="V30" s="1086"/>
      <c r="W30" s="1086"/>
      <c r="X30" s="1168">
        <f t="shared" si="24"/>
        <v>208.80294485454056</v>
      </c>
      <c r="Y30" s="1119">
        <v>60.0</v>
      </c>
      <c r="Z30" s="1119">
        <v>0.1</v>
      </c>
      <c r="AA30" s="1170">
        <f t="shared" si="15"/>
        <v>15.833333333333133</v>
      </c>
      <c r="AB30" s="1120">
        <f t="shared" si="21"/>
        <v>19.224999999999998</v>
      </c>
      <c r="AC30" s="1164"/>
      <c r="AD30" s="1089"/>
      <c r="AF30" s="1157">
        <f t="shared" si="16"/>
        <v>22.166666666666387</v>
      </c>
      <c r="AG30" s="1158">
        <f t="shared" si="17"/>
        <v>15.833333333333133</v>
      </c>
      <c r="AH30" s="1066">
        <f t="shared" si="4"/>
        <v>19.224999999999998</v>
      </c>
      <c r="AI30" s="1159">
        <f t="shared" si="18"/>
        <v>19.875</v>
      </c>
      <c r="AJ30" s="1132">
        <f t="shared" si="5"/>
        <v>20.525</v>
      </c>
      <c r="AK30" s="1159">
        <f t="shared" si="18"/>
        <v>21.2</v>
      </c>
      <c r="AL30" s="1160">
        <f t="shared" si="6"/>
        <v>21.875</v>
      </c>
      <c r="AM30" s="1161">
        <f t="shared" si="7"/>
        <v>22.75</v>
      </c>
      <c r="AN30" s="1159">
        <f t="shared" si="10"/>
        <v>23.475</v>
      </c>
      <c r="AO30" s="1161">
        <f t="shared" si="8"/>
        <v>24.2</v>
      </c>
      <c r="AP30" s="1159">
        <f t="shared" si="11"/>
        <v>24.975</v>
      </c>
      <c r="AQ30" s="1072"/>
      <c r="AR30" s="1066">
        <f t="shared" si="19"/>
        <v>1.2999999999999972</v>
      </c>
      <c r="AS30" s="1084">
        <f t="shared" si="9"/>
        <v>1.35</v>
      </c>
      <c r="AT30" s="1149">
        <f t="shared" si="20"/>
        <v>1.5</v>
      </c>
      <c r="AW30" s="1162">
        <v>19.2</v>
      </c>
      <c r="AX30" s="1162">
        <v>20.5</v>
      </c>
      <c r="AY30" s="1162">
        <v>22.6</v>
      </c>
      <c r="AZ30" s="1162">
        <v>24.0</v>
      </c>
      <c r="BA30" s="1150">
        <f t="shared" si="12"/>
        <v>22.166666666666387</v>
      </c>
      <c r="BB30" s="1151"/>
      <c r="BD30" s="1152"/>
    </row>
    <row r="31" spans="8:8" ht="15.0">
      <c r="A31" s="1065">
        <f t="shared" si="1"/>
        <v>0.10555555555555678</v>
      </c>
      <c r="B31" s="1073">
        <f t="shared" si="0"/>
        <v>14.777777777777949</v>
      </c>
      <c r="D31" s="1085"/>
      <c r="E31" s="1166">
        <v>45.0</v>
      </c>
      <c r="F31" s="1169">
        <v>1.53</v>
      </c>
      <c r="G31" s="1169">
        <v>1.17</v>
      </c>
      <c r="H31" s="1086"/>
      <c r="I31" s="1086"/>
      <c r="J31" s="1168">
        <f>ABS(MIN(J25:J30))</f>
        <v>197.6360551454594</v>
      </c>
      <c r="K31" s="1107">
        <f>INDEX(Z25:Z30,MATCH(X31,X25:X30,0))</f>
        <v>0.1</v>
      </c>
      <c r="L31" s="1086"/>
      <c r="M31" s="1170">
        <f t="shared" si="13"/>
        <v>16.666666666666433</v>
      </c>
      <c r="N31" s="1120">
        <f t="shared" si="14"/>
        <v>20.125</v>
      </c>
      <c r="O31" s="656">
        <f>M29*($H$18-N30)*($H$18-N31)*($H$18-N32)*($H$18-N33)/((N29-N30)*(N29-N31)*(N29-N32)*(N29-N33))+M30*($H$18-N29)*($H$18-N31)*($H$18-N32)*($H$18-N33)/((N30-N29)*(N30-N31)*(N30-N32)*(N30-N33))+M31*($H$18-N29)*($H$18-N30)*($H$18-N32)*($H$18-N33)/((N31-N29)*(N31-N30)*(N31-N32)*(N31-N33))+M32*($H$18-N29)*($H$18-N30)*($H$18-N31)*($H$18-N33)/((N32-N29)*(N32-N30)*(N32-N31)*(N32-N33))+M33*($H$18-N29)*($H$18-N30)*($H$18-N31)*($H$18-N32)/((N33-N29)*(N33-N30)*(N33-N31)*(N33-N32))</f>
        <v>4.4992509108009815E7</v>
      </c>
      <c r="P31" s="1089"/>
      <c r="Q31" s="1080"/>
      <c r="R31" s="1088"/>
      <c r="S31" s="1166">
        <v>45.0</v>
      </c>
      <c r="T31" s="1166">
        <f t="shared" si="22"/>
        <v>1.53</v>
      </c>
      <c r="U31" s="1166">
        <f t="shared" si="22"/>
        <v>1.17</v>
      </c>
      <c r="V31" s="1086"/>
      <c r="W31" s="1086"/>
      <c r="X31" s="1168">
        <f>ABS(MIN(X25:X30))</f>
        <v>208.80294485454056</v>
      </c>
      <c r="Y31" s="1107">
        <f>INDEX(Z25:Z30,MATCH(X31,X25:X30,0))</f>
        <v>0.1</v>
      </c>
      <c r="Z31" s="1086"/>
      <c r="AA31" s="1170">
        <f t="shared" si="15"/>
        <v>16.666666666666433</v>
      </c>
      <c r="AB31" s="1120">
        <f t="shared" si="21"/>
        <v>20.125</v>
      </c>
      <c r="AC31" s="656">
        <f>AA29*($V$18-AB30)*($V$18-AB31)*($V$18-AB32)*($V$18-AB33)/((AB29-AB30)*(AB29-AB31)*(AB29-AB32)*(AB29-AB33))+AA30*($V$18-AB29)*($V$18-AB31)*($V$18-AB32)*($V$18-AB33)/((AB30-AB29)*(AB30-AB31)*(AB30-AB32)*(AB30-AB33))+AA31*($V$18-AB29)*($V$18-AB30)*($V$18-AB32)*($V$18-AB33)/((AB31-AB29)*(AB31-AB30)*(AB31-AB32)*(AB31-AB33))+AA32*($V$18-AB29)*($V$18-AB30)*($V$18-AB31)*($V$18-AB33)/((AB32-AB29)*(AB32-AB30)*(AB32-AB31)*(AB32-AB33))+AA33*($V$18-AB29)*($V$18-AB30)*($V$18-AB31)*($V$18-AB32)/((AB33-AB29)*(AB33-AB30)*(AB33-AB31)*(AB33-AB32))</f>
        <v>5.406527523415995E7</v>
      </c>
      <c r="AD31" s="1089"/>
      <c r="AF31" s="1157">
        <f t="shared" si="16"/>
        <v>23.33333333333301</v>
      </c>
      <c r="AG31" s="1158">
        <f t="shared" si="17"/>
        <v>16.666666666666433</v>
      </c>
      <c r="AH31" s="1066">
        <f t="shared" si="4"/>
        <v>20.125</v>
      </c>
      <c r="AI31" s="1159">
        <f t="shared" si="18"/>
        <v>20.825</v>
      </c>
      <c r="AJ31" s="1132">
        <f t="shared" si="5"/>
        <v>21.525</v>
      </c>
      <c r="AK31" s="1159">
        <f t="shared" si="18"/>
        <v>22.25</v>
      </c>
      <c r="AL31" s="1160">
        <f t="shared" si="6"/>
        <v>22.974999999999998</v>
      </c>
      <c r="AM31" s="1161">
        <f t="shared" si="7"/>
        <v>23.849999999999998</v>
      </c>
      <c r="AN31" s="1159">
        <f t="shared" si="10"/>
        <v>24.625</v>
      </c>
      <c r="AO31" s="1161">
        <f t="shared" si="8"/>
        <v>25.4</v>
      </c>
      <c r="AP31" s="1159">
        <f t="shared" si="11"/>
        <v>26.225</v>
      </c>
      <c r="AQ31" s="1072"/>
      <c r="AR31" s="1066">
        <f t="shared" si="19"/>
        <v>1.3999999999999986</v>
      </c>
      <c r="AS31" s="1084">
        <f t="shared" si="9"/>
        <v>1.45</v>
      </c>
      <c r="AT31" s="1149">
        <f t="shared" si="20"/>
        <v>1.6</v>
      </c>
      <c r="AW31" s="1162">
        <v>20.1</v>
      </c>
      <c r="AX31" s="1162">
        <v>21.5</v>
      </c>
      <c r="AY31" s="1162">
        <v>23.7</v>
      </c>
      <c r="AZ31" s="1162">
        <v>25.2</v>
      </c>
      <c r="BA31" s="1150">
        <f t="shared" si="12"/>
        <v>23.33333333333301</v>
      </c>
      <c r="BB31" s="1151"/>
      <c r="BD31" s="1152"/>
    </row>
    <row r="32" spans="8:8" ht="15.0">
      <c r="A32" s="1065">
        <f t="shared" si="1"/>
        <v>0.10833333333333478</v>
      </c>
      <c r="B32" s="1073">
        <f t="shared" si="0"/>
        <v>15.166666666666869</v>
      </c>
      <c r="D32" s="1085"/>
      <c r="E32" s="1166">
        <v>50.0</v>
      </c>
      <c r="F32" s="1169">
        <v>1.48</v>
      </c>
      <c r="G32" s="1169">
        <v>1.17</v>
      </c>
      <c r="H32" s="1086"/>
      <c r="I32" s="1086"/>
      <c r="J32" s="1086"/>
      <c r="K32" s="1086"/>
      <c r="L32" s="1086"/>
      <c r="M32" s="1170">
        <f t="shared" si="13"/>
        <v>17.499999999999734</v>
      </c>
      <c r="N32" s="1120">
        <f t="shared" si="14"/>
        <v>21.125</v>
      </c>
      <c r="O32" s="1164"/>
      <c r="P32" s="1089"/>
      <c r="Q32" s="1080"/>
      <c r="R32" s="1088"/>
      <c r="S32" s="1166">
        <v>50.0</v>
      </c>
      <c r="T32" s="1166">
        <f t="shared" si="22"/>
        <v>1.48</v>
      </c>
      <c r="U32" s="1166">
        <f t="shared" si="22"/>
        <v>1.17</v>
      </c>
      <c r="V32" s="1086"/>
      <c r="W32" s="1086"/>
      <c r="Z32" s="1086"/>
      <c r="AA32" s="1170">
        <f t="shared" si="15"/>
        <v>17.499999999999734</v>
      </c>
      <c r="AB32" s="1120">
        <f t="shared" si="21"/>
        <v>21.125</v>
      </c>
      <c r="AC32" s="1164"/>
      <c r="AD32" s="1089"/>
      <c r="AF32" s="1165">
        <f t="shared" si="16"/>
        <v>24.499999999999627</v>
      </c>
      <c r="AG32" s="1158">
        <f t="shared" si="17"/>
        <v>17.499999999999734</v>
      </c>
      <c r="AH32" s="1066">
        <f t="shared" si="4"/>
        <v>21.125</v>
      </c>
      <c r="AI32" s="1159">
        <f t="shared" si="18"/>
        <v>21.825</v>
      </c>
      <c r="AJ32" s="1132">
        <f t="shared" si="5"/>
        <v>22.525</v>
      </c>
      <c r="AK32" s="1159">
        <f t="shared" si="18"/>
        <v>23.25</v>
      </c>
      <c r="AL32" s="1160">
        <f t="shared" si="6"/>
        <v>23.974999999999998</v>
      </c>
      <c r="AM32" s="1161">
        <f t="shared" si="7"/>
        <v>24.95</v>
      </c>
      <c r="AN32" s="1159">
        <f t="shared" si="10"/>
        <v>25.725</v>
      </c>
      <c r="AO32" s="1161">
        <f t="shared" si="8"/>
        <v>26.5</v>
      </c>
      <c r="AP32" s="1159">
        <f t="shared" si="11"/>
        <v>27.325000000000003</v>
      </c>
      <c r="AQ32" s="1072"/>
      <c r="AR32" s="1066">
        <f t="shared" si="19"/>
        <v>1.3999999999999986</v>
      </c>
      <c r="AS32" s="1084">
        <f t="shared" si="9"/>
        <v>1.45</v>
      </c>
      <c r="AT32" s="1149">
        <f t="shared" si="20"/>
        <v>1.6</v>
      </c>
      <c r="AW32" s="1162">
        <v>21.1</v>
      </c>
      <c r="AX32" s="1162">
        <v>22.5</v>
      </c>
      <c r="AY32" s="1162">
        <v>24.8</v>
      </c>
      <c r="AZ32" s="1162">
        <v>26.3</v>
      </c>
      <c r="BA32" s="1150">
        <f t="shared" si="12"/>
        <v>24.499999999999627</v>
      </c>
      <c r="BB32" s="1151"/>
      <c r="BD32" s="1152"/>
    </row>
    <row r="33" spans="8:8" ht="15.0">
      <c r="A33" s="1065">
        <f t="shared" si="1"/>
        <v>0.11111111111111278</v>
      </c>
      <c r="B33" s="1073">
        <f t="shared" si="0"/>
        <v>15.55555555555579</v>
      </c>
      <c r="D33" s="1085"/>
      <c r="E33" s="1166">
        <v>55.0</v>
      </c>
      <c r="F33" s="1169">
        <v>1.44</v>
      </c>
      <c r="G33" s="1169">
        <v>1.15</v>
      </c>
      <c r="H33" s="1086"/>
      <c r="I33" s="1086"/>
      <c r="J33" s="1086"/>
      <c r="K33" s="1086"/>
      <c r="L33" s="1086"/>
      <c r="M33" s="1170">
        <f t="shared" si="13"/>
        <v>18.333333333333034</v>
      </c>
      <c r="N33" s="1120">
        <f t="shared" si="14"/>
        <v>22.025</v>
      </c>
      <c r="O33" s="1164"/>
      <c r="P33" s="1089"/>
      <c r="Q33" s="1080"/>
      <c r="R33" s="1088"/>
      <c r="S33" s="1166">
        <v>55.0</v>
      </c>
      <c r="T33" s="1166">
        <f t="shared" si="22"/>
        <v>1.44</v>
      </c>
      <c r="U33" s="1166">
        <f t="shared" si="22"/>
        <v>1.15</v>
      </c>
      <c r="V33" s="1086"/>
      <c r="W33" s="1086"/>
      <c r="Z33" s="1086"/>
      <c r="AA33" s="1170">
        <f t="shared" si="15"/>
        <v>18.333333333333034</v>
      </c>
      <c r="AB33" s="1120">
        <f t="shared" si="21"/>
        <v>22.025</v>
      </c>
      <c r="AC33" s="1164"/>
      <c r="AD33" s="1089"/>
      <c r="AF33" s="1157">
        <f t="shared" si="16"/>
        <v>25.666666666666245</v>
      </c>
      <c r="AG33" s="1158">
        <f t="shared" si="17"/>
        <v>18.333333333333034</v>
      </c>
      <c r="AH33" s="1066">
        <f t="shared" si="4"/>
        <v>22.025</v>
      </c>
      <c r="AI33" s="1159">
        <f t="shared" si="18"/>
        <v>22.775</v>
      </c>
      <c r="AJ33" s="1132">
        <f t="shared" si="5"/>
        <v>23.525</v>
      </c>
      <c r="AK33" s="1159">
        <f t="shared" si="18"/>
        <v>24.299999999999997</v>
      </c>
      <c r="AL33" s="1160">
        <f t="shared" si="6"/>
        <v>25.075</v>
      </c>
      <c r="AM33" s="1161">
        <f t="shared" si="7"/>
        <v>25.95</v>
      </c>
      <c r="AN33" s="1159">
        <f t="shared" si="10"/>
        <v>26.775</v>
      </c>
      <c r="AO33" s="1161">
        <f t="shared" si="8"/>
        <v>27.599999999999998</v>
      </c>
      <c r="AP33" s="1159">
        <f t="shared" si="11"/>
        <v>28.474999999999998</v>
      </c>
      <c r="AQ33" s="1072"/>
      <c r="AR33" s="1066">
        <f t="shared" si="19"/>
        <v>1.5</v>
      </c>
      <c r="AS33" s="1084">
        <f t="shared" si="9"/>
        <v>1.55</v>
      </c>
      <c r="AT33" s="1149">
        <f t="shared" si="20"/>
        <v>1.7</v>
      </c>
      <c r="AW33" s="1162">
        <v>22.0</v>
      </c>
      <c r="AX33" s="1162">
        <v>23.5</v>
      </c>
      <c r="AY33" s="1162">
        <v>25.8</v>
      </c>
      <c r="AZ33" s="1162">
        <v>27.4</v>
      </c>
      <c r="BA33" s="1150">
        <f t="shared" si="12"/>
        <v>25.666666666666245</v>
      </c>
      <c r="BB33" s="1151"/>
      <c r="BD33" s="1152"/>
    </row>
    <row r="34" spans="8:8" ht="15.0">
      <c r="A34" s="1065">
        <f t="shared" si="1"/>
        <v>0.11388888888889079</v>
      </c>
      <c r="B34" s="1073">
        <f t="shared" si="0"/>
        <v>15.944444444444711</v>
      </c>
      <c r="D34" s="1085"/>
      <c r="E34" s="1166">
        <v>60.0</v>
      </c>
      <c r="F34" s="1169">
        <v>1.41</v>
      </c>
      <c r="G34" s="1169">
        <v>1.15</v>
      </c>
      <c r="H34" s="1086"/>
      <c r="I34" s="1086"/>
      <c r="J34" s="1086"/>
      <c r="K34" s="1086"/>
      <c r="L34" s="1086"/>
      <c r="M34" s="1170">
        <f t="shared" si="13"/>
        <v>19.166666666666334</v>
      </c>
      <c r="N34" s="1120">
        <f t="shared" si="14"/>
        <v>22.924999999999997</v>
      </c>
      <c r="O34" s="1164"/>
      <c r="P34" s="1089"/>
      <c r="Q34" s="1080"/>
      <c r="R34" s="1088"/>
      <c r="S34" s="1166">
        <v>60.0</v>
      </c>
      <c r="T34" s="1166">
        <f t="shared" si="22"/>
        <v>1.41</v>
      </c>
      <c r="U34" s="1166">
        <f t="shared" si="22"/>
        <v>1.15</v>
      </c>
      <c r="V34" s="1086"/>
      <c r="W34" s="1086"/>
      <c r="Z34" s="1086"/>
      <c r="AA34" s="1170">
        <f t="shared" si="15"/>
        <v>19.166666666666334</v>
      </c>
      <c r="AB34" s="1120">
        <f t="shared" si="21"/>
        <v>22.924999999999997</v>
      </c>
      <c r="AC34" s="1164"/>
      <c r="AD34" s="1089"/>
      <c r="AF34" s="1157">
        <f t="shared" si="16"/>
        <v>26.833333333332867</v>
      </c>
      <c r="AG34" s="1158">
        <f t="shared" si="17"/>
        <v>19.166666666666334</v>
      </c>
      <c r="AH34" s="1066">
        <f t="shared" si="4"/>
        <v>22.924999999999997</v>
      </c>
      <c r="AI34" s="1159">
        <f t="shared" si="18"/>
        <v>23.724999999999998</v>
      </c>
      <c r="AJ34" s="1132">
        <f t="shared" si="5"/>
        <v>24.525</v>
      </c>
      <c r="AK34" s="1159">
        <f t="shared" si="18"/>
        <v>25.349999999999998</v>
      </c>
      <c r="AL34" s="1160">
        <f t="shared" si="6"/>
        <v>26.174999999999997</v>
      </c>
      <c r="AM34" s="1161">
        <f t="shared" si="7"/>
        <v>27.049999999999997</v>
      </c>
      <c r="AN34" s="1159">
        <f t="shared" si="10"/>
        <v>27.875</v>
      </c>
      <c r="AO34" s="1161">
        <f t="shared" si="8"/>
        <v>28.7</v>
      </c>
      <c r="AP34" s="1159">
        <f t="shared" si="11"/>
        <v>29.575</v>
      </c>
      <c r="AQ34" s="1072"/>
      <c r="AR34" s="1066">
        <f t="shared" si="19"/>
        <v>1.5999999999999979</v>
      </c>
      <c r="AS34" s="1084">
        <f t="shared" si="9"/>
        <v>1.6500000000000001</v>
      </c>
      <c r="AT34" s="1149">
        <f t="shared" si="20"/>
        <v>1.7</v>
      </c>
      <c r="AW34" s="1162">
        <v>22.9</v>
      </c>
      <c r="AX34" s="1162">
        <v>24.5</v>
      </c>
      <c r="AY34" s="1162">
        <v>26.9</v>
      </c>
      <c r="AZ34" s="1162">
        <v>28.5</v>
      </c>
      <c r="BA34" s="1150">
        <f t="shared" si="12"/>
        <v>26.833333333332867</v>
      </c>
      <c r="BB34" s="1151"/>
      <c r="BD34" s="1152"/>
    </row>
    <row r="35" spans="8:8" ht="15.0">
      <c r="A35" s="1065">
        <f t="shared" si="1"/>
        <v>0.11666666666666878</v>
      </c>
      <c r="B35" s="1073">
        <f t="shared" si="0"/>
        <v>16.33333333333363</v>
      </c>
      <c r="D35" s="1085"/>
      <c r="E35" s="1173"/>
      <c r="F35" s="1173"/>
      <c r="G35" s="1173"/>
      <c r="H35" s="1086"/>
      <c r="I35" s="1086"/>
      <c r="J35" s="1086"/>
      <c r="K35" s="1086"/>
      <c r="L35" s="1086"/>
      <c r="M35" s="1170">
        <f t="shared" si="13"/>
        <v>19.99999999999963</v>
      </c>
      <c r="N35" s="1120">
        <f t="shared" si="14"/>
        <v>23.825</v>
      </c>
      <c r="O35" s="656">
        <f>M33*($H$18-N34)*($H$18-N35)*($H$18-N36)*($H$18-N37)/((N33-N34)*(N33-N35)*(N33-N36)*(N33-N37))+M34*($H$18-N33)*($H$18-N35)*($H$18-N36)*($H$18-N37)/((N34-N33)*(N34-N35)*(N34-N36)*(N34-N37))+M35*($H$18-N33)*($H$18-N34)*($H$18-N36)*($H$18-N37)/((N35-N33)*(N35-N34)*(N35-N36)*(N35-N37))+M36*($H$18-N33)*($H$18-N34)*($H$18-N35)*($H$18-N37)/((N36-N33)*(N36-N34)*(N36-N35)*(N36-N37))+M37*($H$18-N33)*($H$18-N34)*($H$18-N35)*($H$18-N36)/((N37-N33)*(N37-N34)*(N37-N35)*(N37-N36))</f>
        <v>236.49170970916748</v>
      </c>
      <c r="P35" s="1089"/>
      <c r="Q35" s="1080"/>
      <c r="R35" s="1088"/>
      <c r="S35" s="1173"/>
      <c r="T35" s="1173"/>
      <c r="U35" s="1173"/>
      <c r="V35" s="1086"/>
      <c r="W35" s="1086"/>
      <c r="Z35" s="1086"/>
      <c r="AA35" s="1170">
        <f t="shared" si="15"/>
        <v>19.99999999999963</v>
      </c>
      <c r="AB35" s="1120">
        <f t="shared" si="21"/>
        <v>23.825</v>
      </c>
      <c r="AC35" s="656">
        <f>AA33*($V$18-AB34)*($V$18-AB35)*($V$18-AB36)*($V$18-AB37)/((AB33-AB34)*(AB33-AB35)*(AB33-AB36)*(AB33-AB37))+AA34*($V$18-AB33)*($V$18-AB35)*($V$18-AB36)*($V$18-AB37)/((AB34-AB33)*(AB34-AB35)*(AB34-AB36)*(AB34-AB37))+AA35*($V$18-AB33)*($V$18-AB34)*($V$18-AB36)*($V$18-AB37)/((AB35-AB33)*(AB35-AB34)*(AB35-AB36)*(AB35-AB37))+AA36*($V$18-AB33)*($V$18-AB34)*($V$18-AB35)*($V$18-AB37)/((AB36-AB33)*(AB36-AB34)*(AB36-AB35)*(AB36-AB37))+AA37*($V$18-AB33)*($V$18-AB34)*($V$18-AB35)*($V$18-AB36)/((AB37-AB33)*(AB37-AB34)*(AB37-AB35)*(AB37-AB36))</f>
        <v>246.8314208984375</v>
      </c>
      <c r="AD35" s="1089"/>
      <c r="AF35" s="1171">
        <f t="shared" si="16"/>
        <v>27.99999999999948</v>
      </c>
      <c r="AG35" s="1158">
        <f t="shared" si="17"/>
        <v>19.99999999999963</v>
      </c>
      <c r="AH35" s="1143">
        <f t="shared" si="4"/>
        <v>23.825</v>
      </c>
      <c r="AI35" s="1147">
        <f t="shared" si="18"/>
        <v>24.674999999999997</v>
      </c>
      <c r="AJ35" s="1172">
        <f t="shared" si="5"/>
        <v>25.525</v>
      </c>
      <c r="AK35" s="1147">
        <f t="shared" si="18"/>
        <v>26.4</v>
      </c>
      <c r="AL35" s="1172">
        <f t="shared" si="6"/>
        <v>27.275</v>
      </c>
      <c r="AM35" s="1147">
        <f t="shared" si="7"/>
        <v>28.049999999999997</v>
      </c>
      <c r="AN35" s="1147">
        <f t="shared" si="10"/>
        <v>28.924999999999997</v>
      </c>
      <c r="AO35" s="1147">
        <f t="shared" si="8"/>
        <v>29.8</v>
      </c>
      <c r="AP35" s="1147">
        <f t="shared" si="11"/>
        <v>30.725</v>
      </c>
      <c r="AQ35" s="1072"/>
      <c r="AR35" s="1066">
        <f t="shared" si="19"/>
        <v>1.6999999999999993</v>
      </c>
      <c r="AS35" s="1084">
        <f t="shared" si="9"/>
        <v>1.75</v>
      </c>
      <c r="AT35" s="1149">
        <f t="shared" si="20"/>
        <v>1.8</v>
      </c>
      <c r="AW35" s="1172">
        <v>23.8</v>
      </c>
      <c r="AX35" s="1172">
        <v>25.5</v>
      </c>
      <c r="AY35" s="1172">
        <v>27.9</v>
      </c>
      <c r="AZ35" s="1172">
        <v>29.6</v>
      </c>
      <c r="BA35" s="1150">
        <f t="shared" si="12"/>
        <v>27.99999999999948</v>
      </c>
      <c r="BB35" s="1151"/>
      <c r="BD35" s="1152"/>
    </row>
    <row r="36" spans="8:8" ht="15.0">
      <c r="A36" s="1065">
        <f t="shared" si="1"/>
        <v>0.11944444444444678</v>
      </c>
      <c r="B36" s="1073">
        <f t="shared" si="0"/>
        <v>16.72222222222255</v>
      </c>
      <c r="D36" s="1085"/>
      <c r="E36" s="1166" t="s">
        <v>157</v>
      </c>
      <c r="F36" s="1166">
        <f>LOOKUP(E8,E23:E34,F23:F34)</f>
        <v>1.41</v>
      </c>
      <c r="G36" s="1166">
        <f>LOOKUP(E8,E23:E34,G23:G34)</f>
        <v>1.15</v>
      </c>
      <c r="H36" s="1174" t="s">
        <v>158</v>
      </c>
      <c r="I36" s="1175"/>
      <c r="J36" s="1086"/>
      <c r="K36" s="1086"/>
      <c r="L36" s="1086"/>
      <c r="M36" s="1170">
        <f t="shared" si="13"/>
        <v>20.83333333333293</v>
      </c>
      <c r="N36" s="1120">
        <f t="shared" si="14"/>
        <v>24.724999999999998</v>
      </c>
      <c r="O36" s="1164"/>
      <c r="P36" s="1089"/>
      <c r="Q36" s="1080"/>
      <c r="R36" s="1088"/>
      <c r="S36" s="1166" t="s">
        <v>157</v>
      </c>
      <c r="T36" s="1166">
        <f>LOOKUP(S8,S23:S34,T23:T34)</f>
        <v>1.41</v>
      </c>
      <c r="U36" s="1166">
        <f>LOOKUP(S8,S23:S34,U23:U34)</f>
        <v>1.15</v>
      </c>
      <c r="V36" s="1174" t="s">
        <v>159</v>
      </c>
      <c r="W36" s="1175"/>
      <c r="Z36" s="1086"/>
      <c r="AA36" s="1170">
        <f t="shared" si="15"/>
        <v>20.83333333333293</v>
      </c>
      <c r="AB36" s="1120">
        <f t="shared" si="21"/>
        <v>24.724999999999998</v>
      </c>
      <c r="AC36" s="1164"/>
      <c r="AD36" s="1089"/>
      <c r="AF36" s="1157">
        <f t="shared" si="16"/>
        <v>29.166666666666103</v>
      </c>
      <c r="AG36" s="1158">
        <f t="shared" si="17"/>
        <v>20.83333333333293</v>
      </c>
      <c r="AH36" s="1066">
        <f t="shared" si="4"/>
        <v>24.724999999999998</v>
      </c>
      <c r="AI36" s="1159">
        <f t="shared" si="18"/>
        <v>25.574999999999996</v>
      </c>
      <c r="AJ36" s="1132">
        <f t="shared" si="5"/>
        <v>26.424999999999997</v>
      </c>
      <c r="AK36" s="1159">
        <f t="shared" si="18"/>
        <v>27.299999999999997</v>
      </c>
      <c r="AL36" s="1160">
        <f t="shared" si="6"/>
        <v>28.175</v>
      </c>
      <c r="AM36" s="1161">
        <f t="shared" si="7"/>
        <v>29.15</v>
      </c>
      <c r="AN36" s="1159">
        <f t="shared" si="10"/>
        <v>30.025</v>
      </c>
      <c r="AO36" s="1161">
        <f t="shared" si="8"/>
        <v>30.9</v>
      </c>
      <c r="AP36" s="1159">
        <f t="shared" si="11"/>
        <v>31.825</v>
      </c>
      <c r="AQ36" s="1072"/>
      <c r="AR36" s="1066">
        <f t="shared" si="19"/>
        <v>1.6999999999999993</v>
      </c>
      <c r="AS36" s="1084">
        <f t="shared" si="9"/>
        <v>1.75</v>
      </c>
      <c r="AT36" s="1149">
        <f t="shared" si="20"/>
        <v>1.8</v>
      </c>
      <c r="AW36" s="1162">
        <v>24.7</v>
      </c>
      <c r="AX36" s="1162">
        <v>26.4</v>
      </c>
      <c r="AY36" s="1162">
        <v>29.0</v>
      </c>
      <c r="AZ36" s="1162">
        <v>30.7</v>
      </c>
      <c r="BA36" s="1150">
        <f t="shared" si="12"/>
        <v>29.166666666666103</v>
      </c>
      <c r="BB36" s="1151"/>
      <c r="BD36" s="1152"/>
    </row>
    <row r="37" spans="8:8" ht="15.0">
      <c r="A37" s="1065">
        <f t="shared" si="1"/>
        <v>0.12222222222222479</v>
      </c>
      <c r="B37" s="1073">
        <f t="shared" si="0"/>
        <v>17.11111111111147</v>
      </c>
      <c r="D37" s="1085"/>
      <c r="E37" s="1086"/>
      <c r="F37" s="1086"/>
      <c r="G37" s="1086"/>
      <c r="H37" s="1086"/>
      <c r="L37" s="1089"/>
      <c r="M37" s="1156">
        <f t="shared" si="13"/>
        <v>21.66666666666623</v>
      </c>
      <c r="N37" s="1120">
        <f t="shared" si="14"/>
        <v>25.625</v>
      </c>
      <c r="O37" s="1164"/>
      <c r="P37" s="1089"/>
      <c r="Q37" s="1080"/>
      <c r="R37" s="1088"/>
      <c r="S37" s="1086"/>
      <c r="T37" s="1086"/>
      <c r="U37" s="1086"/>
      <c r="V37" s="1086"/>
      <c r="W37" s="1086"/>
      <c r="Z37" s="1086"/>
      <c r="AA37" s="1170">
        <f t="shared" si="15"/>
        <v>21.66666666666623</v>
      </c>
      <c r="AB37" s="1120">
        <f t="shared" si="21"/>
        <v>25.625</v>
      </c>
      <c r="AC37" s="1164"/>
      <c r="AD37" s="1089"/>
      <c r="AF37" s="1157">
        <f t="shared" si="16"/>
        <v>30.33333333333272</v>
      </c>
      <c r="AG37" s="1158">
        <f t="shared" si="17"/>
        <v>21.66666666666623</v>
      </c>
      <c r="AH37" s="1066">
        <f t="shared" si="4"/>
        <v>25.625</v>
      </c>
      <c r="AI37" s="1159">
        <f t="shared" si="18"/>
        <v>26.475</v>
      </c>
      <c r="AJ37" s="1132">
        <f t="shared" si="5"/>
        <v>27.325</v>
      </c>
      <c r="AK37" s="1159">
        <f t="shared" si="18"/>
        <v>28.2</v>
      </c>
      <c r="AL37" s="1160">
        <f t="shared" si="6"/>
        <v>29.075</v>
      </c>
      <c r="AM37" s="1161">
        <f t="shared" si="7"/>
        <v>30.15</v>
      </c>
      <c r="AN37" s="1159">
        <f t="shared" si="10"/>
        <v>31.075</v>
      </c>
      <c r="AO37" s="1161">
        <f t="shared" si="8"/>
        <v>32.0</v>
      </c>
      <c r="AP37" s="1159">
        <f t="shared" si="11"/>
        <v>32.975</v>
      </c>
      <c r="AQ37" s="1072"/>
      <c r="AR37" s="1066">
        <f t="shared" si="19"/>
        <v>1.6999999999999993</v>
      </c>
      <c r="AS37" s="1084">
        <f t="shared" si="9"/>
        <v>1.75</v>
      </c>
      <c r="AT37" s="1149">
        <f t="shared" si="20"/>
        <v>1.9000000000000001</v>
      </c>
      <c r="AW37" s="1162">
        <v>25.6</v>
      </c>
      <c r="AX37" s="1162">
        <v>27.3</v>
      </c>
      <c r="AY37" s="1162">
        <v>30.0</v>
      </c>
      <c r="AZ37" s="1162">
        <v>31.8</v>
      </c>
      <c r="BA37" s="1150">
        <f t="shared" si="12"/>
        <v>30.33333333333272</v>
      </c>
      <c r="BB37" s="1151"/>
      <c r="BD37" s="1152"/>
    </row>
    <row r="38" spans="8:8" ht="15.75">
      <c r="A38" s="1065">
        <f t="shared" si="1"/>
        <v>0.12500000000000278</v>
      </c>
      <c r="B38" s="1073">
        <f t="shared" si="0"/>
        <v>17.500000000000387</v>
      </c>
      <c r="D38" s="1085"/>
      <c r="E38" s="1176" t="s">
        <v>160</v>
      </c>
      <c r="F38" s="1177"/>
      <c r="G38" s="1178"/>
      <c r="H38" s="1086"/>
      <c r="L38" s="1089"/>
      <c r="M38" s="1156">
        <f t="shared" si="13"/>
        <v>22.49999999999953</v>
      </c>
      <c r="N38" s="1120">
        <f t="shared" si="14"/>
        <v>26.525</v>
      </c>
      <c r="O38" s="1164"/>
      <c r="P38" s="1089"/>
      <c r="Q38" s="1080"/>
      <c r="R38" s="1088"/>
      <c r="S38" s="1176" t="s">
        <v>160</v>
      </c>
      <c r="T38" s="1177"/>
      <c r="U38" s="1178"/>
      <c r="V38" s="1086"/>
      <c r="W38" s="1086"/>
      <c r="Z38" s="1087"/>
      <c r="AA38" s="1156">
        <f t="shared" si="15"/>
        <v>22.49999999999953</v>
      </c>
      <c r="AB38" s="1120">
        <f t="shared" si="21"/>
        <v>26.525</v>
      </c>
      <c r="AC38" s="1164"/>
      <c r="AD38" s="1089"/>
      <c r="AF38" s="1165">
        <f t="shared" si="16"/>
        <v>31.499999999999346</v>
      </c>
      <c r="AG38" s="1158">
        <f t="shared" si="17"/>
        <v>22.49999999999953</v>
      </c>
      <c r="AH38" s="1066">
        <f t="shared" si="4"/>
        <v>26.525</v>
      </c>
      <c r="AI38" s="1159">
        <f t="shared" si="18"/>
        <v>27.424999999999997</v>
      </c>
      <c r="AJ38" s="1132">
        <f t="shared" si="5"/>
        <v>28.325</v>
      </c>
      <c r="AK38" s="1159">
        <f t="shared" si="18"/>
        <v>29.25</v>
      </c>
      <c r="AL38" s="1160">
        <f t="shared" si="6"/>
        <v>30.175</v>
      </c>
      <c r="AM38" s="1161">
        <f t="shared" si="7"/>
        <v>31.15</v>
      </c>
      <c r="AN38" s="1159">
        <f t="shared" si="10"/>
        <v>32.125</v>
      </c>
      <c r="AO38" s="1161">
        <f t="shared" si="8"/>
        <v>33.1</v>
      </c>
      <c r="AP38" s="1159">
        <f>AN38+AT38</f>
        <v>34.125</v>
      </c>
      <c r="AQ38" s="1072"/>
      <c r="AR38" s="1066">
        <f t="shared" si="19"/>
        <v>1.8000000000000007</v>
      </c>
      <c r="AS38" s="1084">
        <f t="shared" si="9"/>
        <v>1.85</v>
      </c>
      <c r="AT38" s="1149">
        <f t="shared" si="20"/>
        <v>2.0</v>
      </c>
      <c r="AW38" s="1162">
        <v>26.5</v>
      </c>
      <c r="AX38" s="1162">
        <v>28.3</v>
      </c>
      <c r="AY38" s="1162">
        <v>31.0</v>
      </c>
      <c r="AZ38" s="1162">
        <v>32.9</v>
      </c>
      <c r="BA38" s="1150">
        <f t="shared" si="12"/>
        <v>31.499999999999346</v>
      </c>
      <c r="BB38" s="1151"/>
      <c r="BD38" s="1152"/>
    </row>
    <row r="39" spans="8:8" ht="15.75">
      <c r="A39" s="1065">
        <f t="shared" si="1"/>
        <v>0.12777777777778077</v>
      </c>
      <c r="B39" s="1073">
        <f t="shared" si="0"/>
        <v>17.88888888888931</v>
      </c>
      <c r="D39" s="1085"/>
      <c r="E39" s="1179" t="s">
        <v>161</v>
      </c>
      <c r="F39" s="1179" t="s">
        <v>162</v>
      </c>
      <c r="G39" s="1179" t="s">
        <v>163</v>
      </c>
      <c r="H39" s="1086"/>
      <c r="I39" s="1086"/>
      <c r="J39" s="1107" t="s">
        <v>142</v>
      </c>
      <c r="K39" s="1107" t="s">
        <v>142</v>
      </c>
      <c r="L39" s="1087"/>
      <c r="M39" s="1156">
        <f t="shared" si="13"/>
        <v>23.33333333333283</v>
      </c>
      <c r="N39" s="1120">
        <f t="shared" si="14"/>
        <v>27.424999999999997</v>
      </c>
      <c r="O39" s="656">
        <f>M37*($H$18-N38)*($H$18-N39)*($H$18-N40)*($H$18-N41)/((N37-N38)*(N37-N39)*(N37-N40)*(N37-N41))+M38*($H$18-N37)*($H$18-N39)*($H$18-N40)*($H$18-N41)/((N38-N37)*(N38-N39)*(N38-N40)*(N38-N41))+M39*($H$18-N37)*($H$18-N38)*($H$18-N40)*($H$18-N41)/((N39-N37)*(N39-N38)*(N39-N40)*(N39-N41))+M40*($H$18-N37)*($H$18-N38)*($H$18-N39)*($H$18-N41)/((N40-N37)*(N40-N38)*(N40-N39)*(N40-N41))+M41*($H$18-N37)*($H$18-N38)*($H$18-N39)*($H$18-N40)/((N41-N37)*(N41-N38)*(N41-N39)*(N41-N40))</f>
        <v>-6.323699995543003E7</v>
      </c>
      <c r="P39" s="1089"/>
      <c r="Q39" s="1080"/>
      <c r="R39" s="1088"/>
      <c r="S39" s="1179" t="s">
        <v>161</v>
      </c>
      <c r="T39" s="1179" t="s">
        <v>162</v>
      </c>
      <c r="U39" s="1179" t="s">
        <v>163</v>
      </c>
      <c r="V39" s="1086"/>
      <c r="W39" s="1086"/>
      <c r="X39" s="1107" t="s">
        <v>142</v>
      </c>
      <c r="Y39" s="1107" t="s">
        <v>142</v>
      </c>
      <c r="Z39" s="1087"/>
      <c r="AA39" s="1156">
        <f t="shared" si="15"/>
        <v>23.33333333333283</v>
      </c>
      <c r="AB39" s="1120">
        <f t="shared" si="21"/>
        <v>27.424999999999997</v>
      </c>
      <c r="AC39" s="656">
        <f>AA37*($V$18-AB38)*($V$18-AB39)*($V$18-AB40)*($V$18-AB41)/((AB37-AB38)*(AB37-AB39)*(AB37-AB40)*(AB37-AB41))+AA38*($V$18-AB37)*($V$18-AB39)*($V$18-AB40)*($V$18-AB41)/((AB38-AB37)*(AB38-AB39)*(AB38-AB40)*(AB38-AB41))+AA39*($V$18-AB37)*($V$18-AB38)*($V$18-AB40)*($V$18-AB41)/((AB39-AB37)*(AB39-AB38)*(AB39-AB40)*(AB39-AB41))+AA40*($V$18-AB37)*($V$18-AB38)*($V$18-AB39)*($V$18-AB41)/((AB40-AB37)*(AB40-AB38)*(AB40-AB39)*(AB40-AB41))+AA41*($V$18-AB37)*($V$18-AB38)*($V$18-AB39)*($V$18-AB40)/((AB41-AB37)*(AB41-AB38)*(AB41-AB39)*(AB41-AB40))</f>
        <v>-7.641806757483959E7</v>
      </c>
      <c r="AD39" s="1089"/>
      <c r="AF39" s="1157">
        <f t="shared" si="16"/>
        <v>32.66666666666597</v>
      </c>
      <c r="AG39" s="1158">
        <f t="shared" si="17"/>
        <v>23.33333333333283</v>
      </c>
      <c r="AH39" s="1066">
        <f t="shared" si="4"/>
        <v>27.424999999999997</v>
      </c>
      <c r="AI39" s="1159">
        <f t="shared" si="18"/>
        <v>28.324999999999996</v>
      </c>
      <c r="AJ39" s="1132">
        <f t="shared" si="5"/>
        <v>29.224999999999998</v>
      </c>
      <c r="AK39" s="1159">
        <f t="shared" si="18"/>
        <v>30.15</v>
      </c>
      <c r="AL39" s="1160">
        <f t="shared" si="6"/>
        <v>31.075000000000003</v>
      </c>
      <c r="AM39" s="1161">
        <f t="shared" si="7"/>
        <v>32.15</v>
      </c>
      <c r="AN39" s="1159">
        <f t="shared" si="10"/>
        <v>33.175</v>
      </c>
      <c r="AO39" s="1161">
        <f t="shared" si="8"/>
        <v>34.2</v>
      </c>
      <c r="AP39" s="1159">
        <f t="shared" si="11"/>
        <v>35.275</v>
      </c>
      <c r="AQ39" s="1072"/>
      <c r="AR39" s="1066">
        <f t="shared" si="19"/>
        <v>1.8000000000000007</v>
      </c>
      <c r="AS39" s="1084">
        <f t="shared" si="9"/>
        <v>1.85</v>
      </c>
      <c r="AT39" s="1149">
        <f t="shared" si="20"/>
        <v>2.0999999999999996</v>
      </c>
      <c r="AW39" s="1162">
        <v>27.4</v>
      </c>
      <c r="AX39" s="1162">
        <v>29.2</v>
      </c>
      <c r="AY39" s="1162">
        <v>32.0</v>
      </c>
      <c r="AZ39" s="1162">
        <v>34.0</v>
      </c>
      <c r="BA39" s="1150">
        <f t="shared" si="12"/>
        <v>32.66666666666597</v>
      </c>
      <c r="BB39" s="1151"/>
      <c r="BD39" s="1152"/>
    </row>
    <row r="40" spans="8:8" ht="15.0">
      <c r="A40" s="1065">
        <f t="shared" si="1"/>
        <v>0.13055555555555876</v>
      </c>
      <c r="B40" s="1073">
        <f t="shared" si="0"/>
        <v>18.277777777778226</v>
      </c>
      <c r="D40" s="1085"/>
      <c r="E40" s="1166">
        <v>140.0</v>
      </c>
      <c r="F40" s="1169">
        <v>0.0085</v>
      </c>
      <c r="G40" s="1169">
        <v>0.0063</v>
      </c>
      <c r="H40" s="1086"/>
      <c r="I40" s="1107" t="s">
        <v>141</v>
      </c>
      <c r="J40" s="1117">
        <v>1.5</v>
      </c>
      <c r="K40" s="1117">
        <v>1.0</v>
      </c>
      <c r="L40" s="1107" t="s">
        <v>124</v>
      </c>
      <c r="M40" s="1156">
        <f t="shared" si="13"/>
        <v>24.16666666666613</v>
      </c>
      <c r="N40" s="1120">
        <f t="shared" si="14"/>
        <v>28.224999999999998</v>
      </c>
      <c r="O40" s="1164"/>
      <c r="P40" s="1089"/>
      <c r="Q40" s="1080"/>
      <c r="R40" s="1088"/>
      <c r="S40" s="1166">
        <v>140.0</v>
      </c>
      <c r="T40" s="1166">
        <f t="shared" si="25" ref="T40:U48">F40</f>
        <v>0.0085</v>
      </c>
      <c r="U40" s="1166">
        <f t="shared" si="25"/>
        <v>0.0063</v>
      </c>
      <c r="V40" s="1086"/>
      <c r="W40" s="1107" t="s">
        <v>141</v>
      </c>
      <c r="X40" s="1117">
        <f>J40</f>
        <v>1.5</v>
      </c>
      <c r="Y40" s="1117">
        <f>K40</f>
        <v>1.0</v>
      </c>
      <c r="Z40" s="1107" t="s">
        <v>124</v>
      </c>
      <c r="AA40" s="1156">
        <f t="shared" si="15"/>
        <v>24.16666666666613</v>
      </c>
      <c r="AB40" s="1120">
        <f t="shared" si="21"/>
        <v>28.224999999999998</v>
      </c>
      <c r="AC40" s="1164"/>
      <c r="AD40" s="1089"/>
      <c r="AF40" s="1157">
        <f t="shared" si="16"/>
        <v>33.83333333333258</v>
      </c>
      <c r="AG40" s="1158">
        <f t="shared" si="17"/>
        <v>24.16666666666613</v>
      </c>
      <c r="AH40" s="1066">
        <f t="shared" si="4"/>
        <v>28.224999999999998</v>
      </c>
      <c r="AI40" s="1159">
        <f t="shared" si="18"/>
        <v>29.174999999999997</v>
      </c>
      <c r="AJ40" s="1132">
        <f t="shared" si="5"/>
        <v>30.125</v>
      </c>
      <c r="AK40" s="1159">
        <f t="shared" si="18"/>
        <v>31.1</v>
      </c>
      <c r="AL40" s="1160">
        <f t="shared" si="6"/>
        <v>32.075</v>
      </c>
      <c r="AM40" s="1161">
        <f t="shared" si="7"/>
        <v>33.15</v>
      </c>
      <c r="AN40" s="1159">
        <f t="shared" si="10"/>
        <v>34.175</v>
      </c>
      <c r="AO40" s="1161">
        <f t="shared" si="8"/>
        <v>35.2</v>
      </c>
      <c r="AP40" s="1159">
        <f t="shared" si="11"/>
        <v>36.275</v>
      </c>
      <c r="AQ40" s="1072"/>
      <c r="AR40" s="1066">
        <f t="shared" si="19"/>
        <v>1.8999999999999986</v>
      </c>
      <c r="AS40" s="1084">
        <f t="shared" si="9"/>
        <v>1.95</v>
      </c>
      <c r="AT40" s="1149">
        <f t="shared" si="20"/>
        <v>2.0999999999999996</v>
      </c>
      <c r="AW40" s="1162">
        <v>28.2</v>
      </c>
      <c r="AX40" s="1162">
        <v>30.1</v>
      </c>
      <c r="AY40" s="1162">
        <v>33.0</v>
      </c>
      <c r="AZ40" s="1162">
        <v>35.0</v>
      </c>
      <c r="BA40" s="1150">
        <f t="shared" si="12"/>
        <v>33.83333333333258</v>
      </c>
      <c r="BB40" s="1151"/>
      <c r="BD40" s="1152"/>
    </row>
    <row r="41" spans="8:8" ht="15.0">
      <c r="A41" s="1065">
        <f t="shared" si="1"/>
        <v>0.13333333333333677</v>
      </c>
      <c r="B41" s="1073">
        <f t="shared" si="0"/>
        <v>18.666666666667147</v>
      </c>
      <c r="D41" s="1085"/>
      <c r="E41" s="1166">
        <v>142.0</v>
      </c>
      <c r="F41" s="1169">
        <v>0.0085</v>
      </c>
      <c r="G41" s="1169">
        <v>0.00622</v>
      </c>
      <c r="H41" s="1086"/>
      <c r="I41" s="1105">
        <v>100.0</v>
      </c>
      <c r="J41" s="1116">
        <f>(2-I41/100)</f>
        <v>1.0</v>
      </c>
      <c r="K41" s="1116">
        <f>100/I41</f>
        <v>1.0</v>
      </c>
      <c r="L41" s="1180">
        <f>(J41*$J$40+K41*$K$40)/($J$40+$K$40)</f>
        <v>1.0</v>
      </c>
      <c r="M41" s="1156">
        <f t="shared" si="13"/>
        <v>24.99999999999943</v>
      </c>
      <c r="N41" s="1120">
        <f t="shared" si="14"/>
        <v>29.125</v>
      </c>
      <c r="O41" s="1164"/>
      <c r="P41" s="1089"/>
      <c r="Q41" s="1080"/>
      <c r="R41" s="1088"/>
      <c r="S41" s="1166">
        <v>142.0</v>
      </c>
      <c r="T41" s="1166">
        <f t="shared" si="25"/>
        <v>0.0085</v>
      </c>
      <c r="U41" s="1166">
        <f t="shared" si="25"/>
        <v>0.00622</v>
      </c>
      <c r="V41" s="1086"/>
      <c r="W41" s="1120">
        <v>100.0</v>
      </c>
      <c r="X41" s="1116">
        <f>(2-W41/100)</f>
        <v>1.0</v>
      </c>
      <c r="Y41" s="1116">
        <f>100/W41</f>
        <v>1.0</v>
      </c>
      <c r="Z41" s="1180">
        <f>(X41*$J$40+Y41*$K$40)/($J$40+$K$40)</f>
        <v>1.0</v>
      </c>
      <c r="AA41" s="1156">
        <f t="shared" si="15"/>
        <v>24.99999999999943</v>
      </c>
      <c r="AB41" s="1120">
        <f t="shared" si="21"/>
        <v>29.125</v>
      </c>
      <c r="AC41" s="1164"/>
      <c r="AD41" s="1089"/>
      <c r="AF41" s="1171">
        <f t="shared" si="16"/>
        <v>34.999999999999204</v>
      </c>
      <c r="AG41" s="1158">
        <f t="shared" si="17"/>
        <v>24.99999999999943</v>
      </c>
      <c r="AH41" s="1143">
        <f t="shared" si="4"/>
        <v>29.125</v>
      </c>
      <c r="AI41" s="1147">
        <f t="shared" si="18"/>
        <v>30.075</v>
      </c>
      <c r="AJ41" s="1172">
        <f t="shared" si="5"/>
        <v>31.025</v>
      </c>
      <c r="AK41" s="1147">
        <f t="shared" si="18"/>
        <v>32.0</v>
      </c>
      <c r="AL41" s="1172">
        <f t="shared" si="6"/>
        <v>32.975</v>
      </c>
      <c r="AM41" s="1147">
        <f t="shared" si="7"/>
        <v>34.15</v>
      </c>
      <c r="AN41" s="1147">
        <f t="shared" si="10"/>
        <v>35.175</v>
      </c>
      <c r="AO41" s="1147">
        <f t="shared" si="8"/>
        <v>36.2</v>
      </c>
      <c r="AP41" s="1147">
        <f t="shared" si="11"/>
        <v>37.275</v>
      </c>
      <c r="AQ41" s="1072"/>
      <c r="AR41" s="1066">
        <f t="shared" si="19"/>
        <v>1.8999999999999986</v>
      </c>
      <c r="AS41" s="1084">
        <f t="shared" si="9"/>
        <v>1.95</v>
      </c>
      <c r="AT41" s="1149">
        <f t="shared" si="20"/>
        <v>2.0999999999999996</v>
      </c>
      <c r="AW41" s="1172">
        <v>29.1</v>
      </c>
      <c r="AX41" s="1172">
        <v>31.0</v>
      </c>
      <c r="AY41" s="1172">
        <v>34.0</v>
      </c>
      <c r="AZ41" s="1172">
        <v>36.0</v>
      </c>
      <c r="BA41" s="1150">
        <f t="shared" si="12"/>
        <v>34.999999999999204</v>
      </c>
      <c r="BB41" s="1151"/>
      <c r="BD41" s="1152"/>
    </row>
    <row r="42" spans="8:8" ht="15.0">
      <c r="A42" s="1065">
        <f t="shared" si="1"/>
        <v>0.13611111111111476</v>
      </c>
      <c r="B42" s="1073">
        <f t="shared" si="0"/>
        <v>19.055555555556065</v>
      </c>
      <c r="D42" s="1085"/>
      <c r="E42" s="1166">
        <v>144.0</v>
      </c>
      <c r="F42" s="1169">
        <v>0.0085</v>
      </c>
      <c r="G42" s="1169">
        <v>0.00613</v>
      </c>
      <c r="H42" s="1086"/>
      <c r="I42" s="1120">
        <v>98.0</v>
      </c>
      <c r="J42" s="1122">
        <f t="shared" si="26" ref="J42:J50">(2-I42/100)</f>
        <v>1.02</v>
      </c>
      <c r="K42" s="1122">
        <f t="shared" si="27" ref="K42:K50">100/I42</f>
        <v>1.0204081632653061</v>
      </c>
      <c r="L42" s="1181">
        <f t="shared" si="28" ref="L42:L50">(J42*$J$40+K42*$K$40)/($J$40+$K$40)</f>
        <v>1.0201632653061226</v>
      </c>
      <c r="M42" s="1156">
        <f t="shared" si="13"/>
        <v>25.83333333333273</v>
      </c>
      <c r="N42" s="1120">
        <f t="shared" si="14"/>
        <v>30.025</v>
      </c>
      <c r="O42" s="1164"/>
      <c r="P42" s="1089"/>
      <c r="Q42" s="1080"/>
      <c r="R42" s="1088"/>
      <c r="S42" s="1166">
        <v>144.0</v>
      </c>
      <c r="T42" s="1166">
        <f t="shared" si="25"/>
        <v>0.0085</v>
      </c>
      <c r="U42" s="1166">
        <f t="shared" si="25"/>
        <v>0.00613</v>
      </c>
      <c r="V42" s="1086"/>
      <c r="W42" s="1120">
        <v>98.0</v>
      </c>
      <c r="X42" s="1122">
        <f t="shared" si="29" ref="X42:X50">(2-W42/100)</f>
        <v>1.02</v>
      </c>
      <c r="Y42" s="1122">
        <f t="shared" si="30" ref="Y42:Y50">100/W42</f>
        <v>1.0204081632653061</v>
      </c>
      <c r="Z42" s="1181">
        <f t="shared" si="31" ref="Z42:Z50">(X42*$J$40+Y42*$K$40)/($J$40+$K$40)</f>
        <v>1.0201632653061226</v>
      </c>
      <c r="AA42" s="1156">
        <f t="shared" si="15"/>
        <v>25.83333333333273</v>
      </c>
      <c r="AB42" s="1120">
        <f t="shared" si="21"/>
        <v>30.025</v>
      </c>
      <c r="AC42" s="1164"/>
      <c r="AD42" s="1089"/>
      <c r="AF42" s="1157">
        <f t="shared" si="16"/>
        <v>36.166666666665826</v>
      </c>
      <c r="AG42" s="1158">
        <f t="shared" si="17"/>
        <v>25.83333333333273</v>
      </c>
      <c r="AH42" s="1066">
        <f t="shared" si="4"/>
        <v>30.025</v>
      </c>
      <c r="AI42" s="1159">
        <f t="shared" si="18"/>
        <v>30.974999999999998</v>
      </c>
      <c r="AJ42" s="1132">
        <f t="shared" si="5"/>
        <v>31.924999999999997</v>
      </c>
      <c r="AK42" s="1159">
        <f t="shared" si="18"/>
        <v>32.9</v>
      </c>
      <c r="AL42" s="1160">
        <f t="shared" si="6"/>
        <v>33.875</v>
      </c>
      <c r="AM42" s="1161">
        <f t="shared" si="7"/>
        <v>35.15</v>
      </c>
      <c r="AN42" s="1159">
        <f t="shared" si="10"/>
        <v>36.225</v>
      </c>
      <c r="AO42" s="1161">
        <f t="shared" si="8"/>
        <v>37.300000000000004</v>
      </c>
      <c r="AP42" s="1159">
        <f t="shared" si="11"/>
        <v>38.42500000000001</v>
      </c>
      <c r="AQ42" s="1072"/>
      <c r="AR42" s="1066">
        <f t="shared" si="19"/>
        <v>1.9000000000000021</v>
      </c>
      <c r="AS42" s="1084">
        <f t="shared" si="9"/>
        <v>1.95</v>
      </c>
      <c r="AT42" s="1149">
        <f t="shared" si="20"/>
        <v>2.20000000000001</v>
      </c>
      <c r="AW42" s="1162">
        <v>30.0</v>
      </c>
      <c r="AX42" s="1162">
        <v>31.9</v>
      </c>
      <c r="AY42" s="1162">
        <v>35.0</v>
      </c>
      <c r="AZ42" s="1162">
        <v>37.1</v>
      </c>
      <c r="BA42" s="1150">
        <f t="shared" si="12"/>
        <v>36.166666666665826</v>
      </c>
      <c r="BB42" s="1151"/>
      <c r="BD42" s="1152"/>
    </row>
    <row r="43" spans="8:8" ht="15.0">
      <c r="A43" s="1065">
        <f t="shared" si="1"/>
        <v>0.13888888888889278</v>
      </c>
      <c r="B43" s="1073">
        <f t="shared" si="0"/>
        <v>19.44444444444499</v>
      </c>
      <c r="D43" s="1085"/>
      <c r="E43" s="1166">
        <v>146.0</v>
      </c>
      <c r="F43" s="1169">
        <v>0.0087</v>
      </c>
      <c r="G43" s="1169">
        <v>0.00606</v>
      </c>
      <c r="H43" s="1086"/>
      <c r="I43" s="1120">
        <v>97.0</v>
      </c>
      <c r="J43" s="1122">
        <f t="shared" si="26"/>
        <v>1.03</v>
      </c>
      <c r="K43" s="1122">
        <f t="shared" si="27"/>
        <v>1.0309278350515463</v>
      </c>
      <c r="L43" s="1181">
        <f t="shared" si="28"/>
        <v>1.0303711340206185</v>
      </c>
      <c r="M43" s="1156">
        <f t="shared" si="13"/>
        <v>26.666666666666032</v>
      </c>
      <c r="N43" s="1120">
        <f t="shared" si="14"/>
        <v>30.825</v>
      </c>
      <c r="O43" s="656">
        <f>M41*($H$18-N42)*($H$18-N43)*($H$18-N44)*($H$18-N45)/((N41-N42)*(N41-N43)*(N41-N44)*(N41-N45))+M42*($H$18-N41)*($H$18-N43)*($H$18-N44)*($H$18-N45)/((N42-N41)*(N42-N43)*(N42-N44)*(N42-N45))+M43*($H$18-N41)*($H$18-N42)*($H$18-N44)*($H$18-N45)/((N43-N41)*(N43-N42)*(N43-N44)*(N43-N45))+M44*($H$18-N41)*($H$18-N42)*($H$18-N43)*($H$18-N45)/((N44-N41)*(N44-N42)*(N44-N43)*(N44-N45))+M45*($H$18-N41)*($H$18-N42)*($H$18-N43)*($H$18-N44)/((N45-N41)*(N45-N42)*(N45-N43)*(N45-N44))</f>
        <v>8.31287674636898E7</v>
      </c>
      <c r="P43" s="1089"/>
      <c r="Q43" s="1080"/>
      <c r="R43" s="1088"/>
      <c r="S43" s="1166">
        <v>146.0</v>
      </c>
      <c r="T43" s="1166">
        <f t="shared" si="25"/>
        <v>0.0087</v>
      </c>
      <c r="U43" s="1166">
        <f t="shared" si="25"/>
        <v>0.00606</v>
      </c>
      <c r="V43" s="1086"/>
      <c r="W43" s="1120">
        <v>97.0</v>
      </c>
      <c r="X43" s="1122">
        <f t="shared" si="29"/>
        <v>1.03</v>
      </c>
      <c r="Y43" s="1122">
        <f t="shared" si="30"/>
        <v>1.0309278350515463</v>
      </c>
      <c r="Z43" s="1181">
        <f t="shared" si="31"/>
        <v>1.0303711340206185</v>
      </c>
      <c r="AA43" s="1156">
        <f t="shared" si="15"/>
        <v>26.666666666666032</v>
      </c>
      <c r="AB43" s="1120">
        <f t="shared" si="21"/>
        <v>30.825</v>
      </c>
      <c r="AC43" s="656">
        <f>AA41*($V$18-AB42)*($V$18-AB43)*($V$18-AB44)*($V$18-AB45)/((AB41-AB42)*(AB41-AB43)*(AB41-AB44)*(AB41-AB45))+AA42*($V$18-AB41)*($V$18-AB43)*($V$18-AB44)*($V$18-AB45)/((AB42-AB41)*(AB42-AB43)*(AB42-AB44)*(AB42-AB45))+AA43*($V$18-AB41)*($V$18-AB42)*($V$18-AB44)*($V$18-AB45)/((AB43-AB41)*(AB43-AB42)*(AB43-AB44)*(AB43-AB45))+AA44*($V$18-AB41)*($V$18-AB42)*($V$18-AB43)*($V$18-AB45)/((AB44-AB41)*(AB44-AB42)*(AB44-AB43)*(AB44-AB45))+AA45*($V$18-AB41)*($V$18-AB42)*($V$18-AB43)*($V$18-AB44)/((AB45-AB41)*(AB45-AB42)*(AB45-AB43)*(AB45-AB44))</f>
        <v>1.0075099681369972E8</v>
      </c>
      <c r="AD43" s="1089"/>
      <c r="AF43" s="1157">
        <f t="shared" si="16"/>
        <v>37.33333333333244</v>
      </c>
      <c r="AG43" s="1158">
        <f t="shared" si="17"/>
        <v>26.666666666666032</v>
      </c>
      <c r="AH43" s="1066">
        <f t="shared" si="4"/>
        <v>30.825</v>
      </c>
      <c r="AI43" s="1159">
        <f t="shared" si="18"/>
        <v>31.824999999999996</v>
      </c>
      <c r="AJ43" s="1132">
        <f t="shared" si="5"/>
        <v>32.824999999999996</v>
      </c>
      <c r="AK43" s="1159">
        <f t="shared" si="18"/>
        <v>33.849999999999994</v>
      </c>
      <c r="AL43" s="1160">
        <f t="shared" si="6"/>
        <v>34.875</v>
      </c>
      <c r="AM43" s="1161">
        <f t="shared" si="7"/>
        <v>36.15</v>
      </c>
      <c r="AN43" s="1159">
        <f t="shared" si="10"/>
        <v>37.225</v>
      </c>
      <c r="AO43" s="1161">
        <f t="shared" si="8"/>
        <v>38.300000000000004</v>
      </c>
      <c r="AP43" s="1159">
        <f t="shared" si="11"/>
        <v>39.42500000000001</v>
      </c>
      <c r="AQ43" s="1072"/>
      <c r="AR43" s="1066">
        <f t="shared" si="19"/>
        <v>2.0000000000000036</v>
      </c>
      <c r="AS43" s="1084">
        <f t="shared" si="9"/>
        <v>2.05</v>
      </c>
      <c r="AT43" s="1149">
        <f t="shared" si="20"/>
        <v>2.20000000000001</v>
      </c>
      <c r="AW43" s="1162">
        <v>30.8</v>
      </c>
      <c r="AX43" s="1162">
        <v>32.8</v>
      </c>
      <c r="AY43" s="1162">
        <v>36.0</v>
      </c>
      <c r="AZ43" s="1162">
        <v>38.1</v>
      </c>
      <c r="BA43" s="1150">
        <f t="shared" si="12"/>
        <v>37.33333333333244</v>
      </c>
      <c r="BB43" s="1151"/>
      <c r="BD43" s="1152"/>
    </row>
    <row r="44" spans="8:8" ht="15.0">
      <c r="A44" s="1065">
        <f t="shared" si="1"/>
        <v>0.14166666666667077</v>
      </c>
      <c r="B44" s="1073">
        <f t="shared" si="0"/>
        <v>19.833333333333908</v>
      </c>
      <c r="D44" s="1085"/>
      <c r="E44" s="1166">
        <v>148.0</v>
      </c>
      <c r="F44" s="1169">
        <v>0.0089</v>
      </c>
      <c r="G44" s="1169">
        <v>0.00599</v>
      </c>
      <c r="H44" s="1086"/>
      <c r="I44" s="1120">
        <v>95.0</v>
      </c>
      <c r="J44" s="1122">
        <f t="shared" si="26"/>
        <v>1.05</v>
      </c>
      <c r="K44" s="1122">
        <f t="shared" si="27"/>
        <v>1.0526315789473684</v>
      </c>
      <c r="L44" s="1181">
        <f t="shared" si="28"/>
        <v>1.0510526315789472</v>
      </c>
      <c r="M44" s="1156">
        <f t="shared" si="13"/>
        <v>27.499999999999332</v>
      </c>
      <c r="N44" s="1120">
        <f t="shared" si="14"/>
        <v>31.724999999999998</v>
      </c>
      <c r="O44" s="1164"/>
      <c r="P44" s="1089"/>
      <c r="Q44" s="1080"/>
      <c r="R44" s="1088"/>
      <c r="S44" s="1166">
        <v>148.0</v>
      </c>
      <c r="T44" s="1166">
        <f t="shared" si="25"/>
        <v>0.0089</v>
      </c>
      <c r="U44" s="1166">
        <f t="shared" si="25"/>
        <v>0.00599</v>
      </c>
      <c r="V44" s="1086"/>
      <c r="W44" s="1120">
        <v>95.0</v>
      </c>
      <c r="X44" s="1122">
        <f t="shared" si="29"/>
        <v>1.05</v>
      </c>
      <c r="Y44" s="1122">
        <f t="shared" si="30"/>
        <v>1.0526315789473684</v>
      </c>
      <c r="Z44" s="1181">
        <f t="shared" si="31"/>
        <v>1.0510526315789472</v>
      </c>
      <c r="AA44" s="1156">
        <f t="shared" si="15"/>
        <v>27.499999999999332</v>
      </c>
      <c r="AB44" s="1120">
        <f t="shared" si="21"/>
        <v>31.724999999999998</v>
      </c>
      <c r="AC44" s="1164"/>
      <c r="AD44" s="1089"/>
      <c r="AF44" s="1165">
        <f t="shared" si="16"/>
        <v>38.49999999999906</v>
      </c>
      <c r="AG44" s="1158">
        <f t="shared" si="17"/>
        <v>27.499999999999332</v>
      </c>
      <c r="AH44" s="1066">
        <f t="shared" si="4"/>
        <v>31.724999999999998</v>
      </c>
      <c r="AI44" s="1159">
        <f t="shared" si="18"/>
        <v>32.725</v>
      </c>
      <c r="AJ44" s="1132">
        <f t="shared" si="5"/>
        <v>33.725</v>
      </c>
      <c r="AK44" s="1159">
        <f t="shared" si="18"/>
        <v>34.75</v>
      </c>
      <c r="AL44" s="1160">
        <f t="shared" si="6"/>
        <v>35.775</v>
      </c>
      <c r="AM44" s="1161">
        <f t="shared" si="7"/>
        <v>37.15</v>
      </c>
      <c r="AN44" s="1159">
        <f t="shared" si="10"/>
        <v>38.225</v>
      </c>
      <c r="AO44" s="1161">
        <f t="shared" si="8"/>
        <v>39.300000000000004</v>
      </c>
      <c r="AP44" s="1159">
        <f t="shared" si="11"/>
        <v>40.42500000000001</v>
      </c>
      <c r="AQ44" s="1072"/>
      <c r="AR44" s="1066">
        <f t="shared" si="19"/>
        <v>2.0</v>
      </c>
      <c r="AS44" s="1084">
        <f t="shared" si="9"/>
        <v>2.05</v>
      </c>
      <c r="AT44" s="1149">
        <f t="shared" si="20"/>
        <v>2.20000000000001</v>
      </c>
      <c r="AW44" s="1162">
        <v>31.7</v>
      </c>
      <c r="AX44" s="1162">
        <v>33.7</v>
      </c>
      <c r="AY44" s="1162">
        <v>37.0</v>
      </c>
      <c r="AZ44" s="1162">
        <v>39.1</v>
      </c>
      <c r="BA44" s="1150">
        <f t="shared" si="12"/>
        <v>38.49999999999906</v>
      </c>
      <c r="BB44" s="1151"/>
      <c r="BD44" s="1152"/>
    </row>
    <row r="45" spans="8:8" ht="15.0">
      <c r="A45" s="1065">
        <f t="shared" si="1"/>
        <v>0.14444444444444876</v>
      </c>
      <c r="B45" s="1073">
        <f t="shared" si="0"/>
        <v>20.222222222222825</v>
      </c>
      <c r="D45" s="1085"/>
      <c r="E45" s="1166">
        <v>150.0</v>
      </c>
      <c r="F45" s="1169">
        <v>0.0092</v>
      </c>
      <c r="G45" s="1169">
        <v>0.00593</v>
      </c>
      <c r="H45" s="1086"/>
      <c r="I45" s="1120">
        <v>92.0</v>
      </c>
      <c r="J45" s="1122">
        <f t="shared" si="26"/>
        <v>1.08</v>
      </c>
      <c r="K45" s="1122">
        <f t="shared" si="27"/>
        <v>1.0869565217391304</v>
      </c>
      <c r="L45" s="1181">
        <f t="shared" si="28"/>
        <v>1.0827826086956522</v>
      </c>
      <c r="M45" s="1156">
        <f t="shared" si="13"/>
        <v>28.333333333332632</v>
      </c>
      <c r="N45" s="1120">
        <f t="shared" si="14"/>
        <v>32.525</v>
      </c>
      <c r="O45" s="1164"/>
      <c r="P45" s="1089"/>
      <c r="Q45" s="1080"/>
      <c r="R45" s="1088"/>
      <c r="S45" s="1166">
        <v>150.0</v>
      </c>
      <c r="T45" s="1166">
        <f t="shared" si="25"/>
        <v>0.0092</v>
      </c>
      <c r="U45" s="1166">
        <f t="shared" si="25"/>
        <v>0.00593</v>
      </c>
      <c r="V45" s="1086"/>
      <c r="W45" s="1120">
        <v>92.0</v>
      </c>
      <c r="X45" s="1122">
        <f t="shared" si="29"/>
        <v>1.08</v>
      </c>
      <c r="Y45" s="1122">
        <f t="shared" si="30"/>
        <v>1.0869565217391304</v>
      </c>
      <c r="Z45" s="1181">
        <f t="shared" si="31"/>
        <v>1.0827826086956522</v>
      </c>
      <c r="AA45" s="1156">
        <f t="shared" si="15"/>
        <v>28.333333333332632</v>
      </c>
      <c r="AB45" s="1120">
        <f t="shared" si="21"/>
        <v>32.525</v>
      </c>
      <c r="AC45" s="1164"/>
      <c r="AD45" s="1089"/>
      <c r="AF45" s="1157">
        <f t="shared" si="16"/>
        <v>39.66666666666569</v>
      </c>
      <c r="AG45" s="1158">
        <f t="shared" si="17"/>
        <v>28.333333333332632</v>
      </c>
      <c r="AH45" s="1066">
        <f t="shared" si="4"/>
        <v>32.525</v>
      </c>
      <c r="AI45" s="1159">
        <f t="shared" si="18"/>
        <v>33.575</v>
      </c>
      <c r="AJ45" s="1132">
        <f t="shared" si="5"/>
        <v>34.625</v>
      </c>
      <c r="AK45" s="1159">
        <f t="shared" si="18"/>
        <v>35.7</v>
      </c>
      <c r="AL45" s="1160">
        <f t="shared" si="6"/>
        <v>36.775</v>
      </c>
      <c r="AM45" s="1161">
        <f t="shared" si="7"/>
        <v>38.05</v>
      </c>
      <c r="AN45" s="1159">
        <f t="shared" si="10"/>
        <v>39.175</v>
      </c>
      <c r="AO45" s="1161">
        <f t="shared" si="8"/>
        <v>40.300000000000004</v>
      </c>
      <c r="AP45" s="1159">
        <f t="shared" si="11"/>
        <v>41.47500000000001</v>
      </c>
      <c r="AQ45" s="1072"/>
      <c r="AR45" s="1066">
        <f t="shared" si="19"/>
        <v>2.1000000000000014</v>
      </c>
      <c r="AS45" s="1084">
        <f t="shared" si="9"/>
        <v>2.15</v>
      </c>
      <c r="AT45" s="1149">
        <f t="shared" si="20"/>
        <v>2.30000000000001</v>
      </c>
      <c r="AW45" s="1162">
        <v>32.5</v>
      </c>
      <c r="AX45" s="1162">
        <v>34.6</v>
      </c>
      <c r="AY45" s="1162">
        <v>37.9</v>
      </c>
      <c r="AZ45" s="1162">
        <v>40.1</v>
      </c>
      <c r="BA45" s="1150">
        <f t="shared" si="12"/>
        <v>39.66666666666569</v>
      </c>
      <c r="BB45" s="1151"/>
      <c r="BD45" s="1152"/>
    </row>
    <row r="46" spans="8:8" ht="15.0">
      <c r="A46" s="1065">
        <f t="shared" si="1"/>
        <v>0.14722222222222678</v>
      </c>
      <c r="B46" s="1073">
        <f t="shared" si="0"/>
        <v>20.61111111111175</v>
      </c>
      <c r="D46" s="1085"/>
      <c r="E46" s="1166">
        <v>152.0</v>
      </c>
      <c r="F46" s="1169">
        <v>0.0095</v>
      </c>
      <c r="G46" s="1169">
        <v>0.00587</v>
      </c>
      <c r="H46" s="1086"/>
      <c r="I46" s="1120">
        <v>90.0</v>
      </c>
      <c r="J46" s="1122">
        <f t="shared" si="26"/>
        <v>1.1</v>
      </c>
      <c r="K46" s="1122">
        <f t="shared" si="27"/>
        <v>1.1111111111111112</v>
      </c>
      <c r="L46" s="1181">
        <f t="shared" si="28"/>
        <v>1.1044444444444443</v>
      </c>
      <c r="M46" s="1156">
        <f t="shared" si="13"/>
        <v>29.166666666665932</v>
      </c>
      <c r="N46" s="1120">
        <f t="shared" si="14"/>
        <v>33.324999999999996</v>
      </c>
      <c r="O46" s="1164"/>
      <c r="P46" s="1089"/>
      <c r="Q46" s="1080"/>
      <c r="R46" s="1088"/>
      <c r="S46" s="1166">
        <v>152.0</v>
      </c>
      <c r="T46" s="1166">
        <f t="shared" si="25"/>
        <v>0.0095</v>
      </c>
      <c r="U46" s="1166">
        <f t="shared" si="25"/>
        <v>0.00587</v>
      </c>
      <c r="V46" s="1086"/>
      <c r="W46" s="1120">
        <v>90.0</v>
      </c>
      <c r="X46" s="1122">
        <f t="shared" si="29"/>
        <v>1.1</v>
      </c>
      <c r="Y46" s="1122">
        <f t="shared" si="30"/>
        <v>1.1111111111111112</v>
      </c>
      <c r="Z46" s="1181">
        <f t="shared" si="31"/>
        <v>1.1044444444444443</v>
      </c>
      <c r="AA46" s="1156">
        <f t="shared" si="15"/>
        <v>29.166666666665932</v>
      </c>
      <c r="AB46" s="1120">
        <f t="shared" si="21"/>
        <v>33.324999999999996</v>
      </c>
      <c r="AC46" s="1164"/>
      <c r="AD46" s="1089"/>
      <c r="AF46" s="1157">
        <f t="shared" si="16"/>
        <v>40.833333333332305</v>
      </c>
      <c r="AG46" s="1158">
        <f t="shared" si="17"/>
        <v>29.166666666665932</v>
      </c>
      <c r="AH46" s="1066">
        <f t="shared" si="4"/>
        <v>33.324999999999996</v>
      </c>
      <c r="AI46" s="1159">
        <f t="shared" si="18"/>
        <v>34.425</v>
      </c>
      <c r="AJ46" s="1132">
        <f t="shared" si="5"/>
        <v>35.525</v>
      </c>
      <c r="AK46" s="1159">
        <f t="shared" si="18"/>
        <v>36.65</v>
      </c>
      <c r="AL46" s="1160">
        <f t="shared" si="6"/>
        <v>37.775</v>
      </c>
      <c r="AM46" s="1161">
        <f t="shared" si="7"/>
        <v>39.05</v>
      </c>
      <c r="AN46" s="1159">
        <f t="shared" si="10"/>
        <v>40.175</v>
      </c>
      <c r="AO46" s="1161">
        <f t="shared" si="8"/>
        <v>41.300000000000004</v>
      </c>
      <c r="AP46" s="1159">
        <f t="shared" si="11"/>
        <v>42.47500000000001</v>
      </c>
      <c r="AQ46" s="1072"/>
      <c r="AR46" s="1066">
        <f t="shared" si="19"/>
        <v>2.1999999999999957</v>
      </c>
      <c r="AS46" s="1084">
        <f t="shared" si="9"/>
        <v>2.25</v>
      </c>
      <c r="AT46" s="1149">
        <f t="shared" si="20"/>
        <v>2.30000000000001</v>
      </c>
      <c r="AW46" s="1162">
        <v>33.3</v>
      </c>
      <c r="AX46" s="1162">
        <v>35.5</v>
      </c>
      <c r="AY46" s="1162">
        <v>38.9</v>
      </c>
      <c r="AZ46" s="1162">
        <v>41.1</v>
      </c>
      <c r="BA46" s="1150">
        <f t="shared" si="12"/>
        <v>40.833333333332305</v>
      </c>
      <c r="BB46" s="1151"/>
      <c r="BD46" s="1152"/>
    </row>
    <row r="47" spans="8:8" ht="15.0">
      <c r="A47" s="1065">
        <f t="shared" si="1"/>
        <v>0.15000000000000477</v>
      </c>
      <c r="B47" s="1073">
        <f t="shared" si="0"/>
        <v>21.000000000000668</v>
      </c>
      <c r="D47" s="1085"/>
      <c r="E47" s="1166">
        <v>154.0</v>
      </c>
      <c r="F47" s="1169">
        <v>0.0099</v>
      </c>
      <c r="G47" s="1169">
        <v>0.00579</v>
      </c>
      <c r="H47" s="1086"/>
      <c r="I47" s="1120">
        <v>85.0</v>
      </c>
      <c r="J47" s="1122">
        <f t="shared" si="26"/>
        <v>1.15</v>
      </c>
      <c r="K47" s="1122">
        <f t="shared" si="27"/>
        <v>1.1764705882352942</v>
      </c>
      <c r="L47" s="1181">
        <f t="shared" si="28"/>
        <v>1.1605882352941177</v>
      </c>
      <c r="M47" s="1156">
        <f t="shared" si="13"/>
        <v>29.999999999999233</v>
      </c>
      <c r="N47" s="1120">
        <f t="shared" si="14"/>
        <v>34.225</v>
      </c>
      <c r="O47" s="656">
        <f>M45*($H$18-N46)*($H$18-N47)*($H$18-N48)*($H$18-N49)/((N45-N46)*(N45-N47)*(N45-N48)*(N45-N49))+M46*($H$18-N45)*($H$18-N47)*($H$18-N48)*($H$18-N49)/((N46-N45)*(N46-N47)*(N46-N48)*(N46-N49))+M47*($H$18-N45)*($H$18-N46)*($H$18-N48)*($H$18-N49)/((N47-N45)*(N47-N46)*(N47-N48)*(N47-N49))+M48*($H$18-N45)*($H$18-N46)*($H$18-N47)*($H$18-N49)/((N48-N45)*(N48-N46)*(N48-N47)*(N48-N49))+M49*($H$18-N45)*($H$18-N46)*($H$18-N47)*($H$18-N48)/((N49-N45)*(N49-N46)*(N49-N47)*(N49-N48))</f>
        <v>-6.15619795733099E7</v>
      </c>
      <c r="P47" s="1089"/>
      <c r="Q47" s="1080"/>
      <c r="R47" s="1088"/>
      <c r="S47" s="1166">
        <v>154.0</v>
      </c>
      <c r="T47" s="1166">
        <f t="shared" si="25"/>
        <v>0.0099</v>
      </c>
      <c r="U47" s="1166">
        <f t="shared" si="25"/>
        <v>0.00579</v>
      </c>
      <c r="V47" s="1086"/>
      <c r="W47" s="1120">
        <v>85.0</v>
      </c>
      <c r="X47" s="1122">
        <f t="shared" si="29"/>
        <v>1.15</v>
      </c>
      <c r="Y47" s="1122">
        <f t="shared" si="30"/>
        <v>1.1764705882352942</v>
      </c>
      <c r="Z47" s="1181">
        <f t="shared" si="31"/>
        <v>1.1605882352941177</v>
      </c>
      <c r="AA47" s="1156">
        <f t="shared" si="15"/>
        <v>29.999999999999233</v>
      </c>
      <c r="AB47" s="1120">
        <f t="shared" si="21"/>
        <v>34.225</v>
      </c>
      <c r="AC47" s="656">
        <f>AA45*($V$18-AB46)*($V$18-AB47)*($V$18-AB48)*($V$18-AB49)/((AB45-AB46)*(AB45-AB47)*(AB45-AB48)*(AB45-AB49))+AA46*($V$18-AB45)*($V$18-AB47)*($V$18-AB48)*($V$18-AB49)/((AB46-AB45)*(AB46-AB47)*(AB46-AB48)*(AB46-AB49))+AA47*($V$18-AB45)*($V$18-AB46)*($V$18-AB48)*($V$18-AB49)/((AB47-AB45)*(AB47-AB46)*(AB47-AB48)*(AB47-AB49))+AA48*($V$18-AB45)*($V$18-AB46)*($V$18-AB47)*($V$18-AB49)/((AB48-AB45)*(AB48-AB46)*(AB48-AB47)*(AB48-AB49))+AA49*($V$18-AB45)*($V$18-AB46)*($V$18-AB47)*($V$18-AB48)/((AB49-AB45)*(AB49-AB46)*(AB49-AB47)*(AB49-AB48))</f>
        <v>-7.483122044317055E7</v>
      </c>
      <c r="AD47" s="1089"/>
      <c r="AF47" s="1171">
        <f t="shared" si="16"/>
        <v>41.99999999999893</v>
      </c>
      <c r="AG47" s="1158">
        <f t="shared" si="17"/>
        <v>29.999999999999233</v>
      </c>
      <c r="AH47" s="1143">
        <f t="shared" si="4"/>
        <v>34.225</v>
      </c>
      <c r="AI47" s="1147">
        <f t="shared" si="18"/>
        <v>35.325</v>
      </c>
      <c r="AJ47" s="1172">
        <f t="shared" si="5"/>
        <v>36.425</v>
      </c>
      <c r="AK47" s="1147">
        <f t="shared" si="18"/>
        <v>37.55</v>
      </c>
      <c r="AL47" s="1172">
        <f t="shared" si="6"/>
        <v>38.675</v>
      </c>
      <c r="AM47" s="1147">
        <f t="shared" si="7"/>
        <v>39.949999999999996</v>
      </c>
      <c r="AN47" s="1147">
        <f t="shared" si="10"/>
        <v>41.125</v>
      </c>
      <c r="AO47" s="1147">
        <f t="shared" si="8"/>
        <v>42.300000000000004</v>
      </c>
      <c r="AP47" s="1147">
        <f t="shared" si="11"/>
        <v>43.52500000000001</v>
      </c>
      <c r="AQ47" s="1072"/>
      <c r="AR47" s="1066">
        <f t="shared" si="19"/>
        <v>2.1999999999999957</v>
      </c>
      <c r="AS47" s="1084">
        <f t="shared" si="9"/>
        <v>2.25</v>
      </c>
      <c r="AT47" s="1149">
        <f t="shared" si="20"/>
        <v>2.4000000000000097</v>
      </c>
      <c r="AW47" s="1172">
        <v>34.2</v>
      </c>
      <c r="AX47" s="1172">
        <v>36.4</v>
      </c>
      <c r="AY47" s="1172">
        <v>39.8</v>
      </c>
      <c r="AZ47" s="1172">
        <v>42.1</v>
      </c>
      <c r="BA47" s="1150">
        <f t="shared" si="12"/>
        <v>41.99999999999893</v>
      </c>
      <c r="BB47" s="1151"/>
      <c r="BD47" s="1152"/>
    </row>
    <row r="48" spans="8:8" ht="15.0">
      <c r="A48" s="1065">
        <f t="shared" si="1"/>
        <v>0.15277777777778276</v>
      </c>
      <c r="B48" s="1073">
        <f t="shared" si="0"/>
        <v>21.388888888889586</v>
      </c>
      <c r="D48" s="1085"/>
      <c r="E48" s="1166">
        <v>156.0</v>
      </c>
      <c r="F48" s="1169">
        <v>0.0102</v>
      </c>
      <c r="G48" s="1169">
        <v>0.00569</v>
      </c>
      <c r="H48" s="1086"/>
      <c r="I48" s="1120">
        <v>82.0</v>
      </c>
      <c r="J48" s="1122">
        <f t="shared" si="26"/>
        <v>1.1800000000000002</v>
      </c>
      <c r="K48" s="1122">
        <f t="shared" si="27"/>
        <v>1.2195121951219512</v>
      </c>
      <c r="L48" s="1181">
        <f t="shared" si="28"/>
        <v>1.1958048780487807</v>
      </c>
      <c r="M48" s="1156">
        <f t="shared" si="13"/>
        <v>30.833333333332533</v>
      </c>
      <c r="N48" s="1120">
        <f t="shared" si="14"/>
        <v>35.025</v>
      </c>
      <c r="O48" s="1164"/>
      <c r="P48" s="1089"/>
      <c r="Q48" s="1080"/>
      <c r="R48" s="1088"/>
      <c r="S48" s="1166">
        <v>156.0</v>
      </c>
      <c r="T48" s="1166">
        <f t="shared" si="25"/>
        <v>0.0102</v>
      </c>
      <c r="U48" s="1166">
        <f t="shared" si="25"/>
        <v>0.00569</v>
      </c>
      <c r="V48" s="1086"/>
      <c r="W48" s="1120">
        <v>82.0</v>
      </c>
      <c r="X48" s="1122">
        <f t="shared" si="29"/>
        <v>1.1800000000000002</v>
      </c>
      <c r="Y48" s="1122">
        <f t="shared" si="30"/>
        <v>1.2195121951219512</v>
      </c>
      <c r="Z48" s="1181">
        <f t="shared" si="31"/>
        <v>1.1958048780487807</v>
      </c>
      <c r="AA48" s="1156">
        <f t="shared" si="15"/>
        <v>30.833333333332533</v>
      </c>
      <c r="AB48" s="1120">
        <f t="shared" si="21"/>
        <v>35.025</v>
      </c>
      <c r="AC48" s="1164"/>
      <c r="AD48" s="1089"/>
      <c r="AF48" s="1157">
        <f t="shared" si="16"/>
        <v>43.16666666666554</v>
      </c>
      <c r="AG48" s="1158">
        <f t="shared" si="17"/>
        <v>30.833333333332533</v>
      </c>
      <c r="AH48" s="1066">
        <f t="shared" si="4"/>
        <v>35.025</v>
      </c>
      <c r="AI48" s="1159">
        <f t="shared" si="18"/>
        <v>36.125</v>
      </c>
      <c r="AJ48" s="1132">
        <f t="shared" si="5"/>
        <v>37.225</v>
      </c>
      <c r="AK48" s="1159">
        <f t="shared" si="18"/>
        <v>38.35</v>
      </c>
      <c r="AL48" s="1160">
        <f t="shared" si="6"/>
        <v>39.475</v>
      </c>
      <c r="AM48" s="1161">
        <f t="shared" si="7"/>
        <v>40.85</v>
      </c>
      <c r="AN48" s="1159">
        <f t="shared" si="10"/>
        <v>42.175</v>
      </c>
      <c r="AO48" s="1161">
        <f t="shared" si="32" ref="AO48:AO53">AZ48+2*AZ$15</f>
        <v>43.5</v>
      </c>
      <c r="AP48" s="1159">
        <f t="shared" si="11"/>
        <v>44.875</v>
      </c>
      <c r="AQ48" s="1072"/>
      <c r="AR48" s="1066">
        <f t="shared" si="19"/>
        <v>2.200000000000003</v>
      </c>
      <c r="AS48" s="1084">
        <f t="shared" si="9"/>
        <v>2.25</v>
      </c>
      <c r="AT48" s="1149">
        <f t="shared" si="20"/>
        <v>2.6999999999999997</v>
      </c>
      <c r="AW48" s="1162">
        <v>35.0</v>
      </c>
      <c r="AX48" s="1162">
        <v>37.2</v>
      </c>
      <c r="AY48" s="1162">
        <v>40.7</v>
      </c>
      <c r="AZ48" s="1162">
        <v>43.1</v>
      </c>
      <c r="BA48" s="1150">
        <f t="shared" si="12"/>
        <v>43.16666666666554</v>
      </c>
      <c r="BB48" s="1151"/>
      <c r="BD48" s="1152"/>
    </row>
    <row r="49" spans="8:8" ht="15.0">
      <c r="A49" s="1065">
        <f t="shared" si="1"/>
        <v>0.15555555555556078</v>
      </c>
      <c r="B49" s="1073">
        <f t="shared" si="0"/>
        <v>21.77777777777851</v>
      </c>
      <c r="C49" s="1089"/>
      <c r="H49" s="1086"/>
      <c r="I49" s="1120">
        <v>80.0</v>
      </c>
      <c r="J49" s="1122">
        <f t="shared" si="26"/>
        <v>1.2</v>
      </c>
      <c r="K49" s="1122">
        <f t="shared" si="27"/>
        <v>1.25</v>
      </c>
      <c r="L49" s="1181">
        <f t="shared" si="28"/>
        <v>1.22</v>
      </c>
      <c r="M49" s="1156">
        <f t="shared" si="13"/>
        <v>31.666666666665833</v>
      </c>
      <c r="N49" s="1120">
        <f t="shared" si="14"/>
        <v>35.824999999999996</v>
      </c>
      <c r="O49" s="1164"/>
      <c r="P49" s="1089"/>
      <c r="Q49" s="1182"/>
      <c r="V49" s="1086"/>
      <c r="W49" s="1120">
        <v>80.0</v>
      </c>
      <c r="X49" s="1122">
        <f t="shared" si="29"/>
        <v>1.2</v>
      </c>
      <c r="Y49" s="1122">
        <f t="shared" si="30"/>
        <v>1.25</v>
      </c>
      <c r="Z49" s="1181">
        <f t="shared" si="31"/>
        <v>1.22</v>
      </c>
      <c r="AA49" s="1156">
        <f t="shared" si="15"/>
        <v>31.666666666665833</v>
      </c>
      <c r="AB49" s="1120">
        <f t="shared" si="21"/>
        <v>35.824999999999996</v>
      </c>
      <c r="AC49" s="1164"/>
      <c r="AD49" s="1089"/>
      <c r="AF49" s="1157">
        <f t="shared" si="16"/>
        <v>44.33333333333216</v>
      </c>
      <c r="AG49" s="1158">
        <f t="shared" si="17"/>
        <v>31.666666666665833</v>
      </c>
      <c r="AH49" s="1066">
        <f t="shared" si="4"/>
        <v>35.824999999999996</v>
      </c>
      <c r="AI49" s="1159">
        <f t="shared" si="18"/>
        <v>36.974999999999994</v>
      </c>
      <c r="AJ49" s="1132">
        <f t="shared" si="5"/>
        <v>38.125</v>
      </c>
      <c r="AK49" s="1159">
        <f t="shared" si="18"/>
        <v>39.3</v>
      </c>
      <c r="AL49" s="1160">
        <f t="shared" si="6"/>
        <v>40.475</v>
      </c>
      <c r="AM49" s="1161">
        <f t="shared" si="7"/>
        <v>41.85</v>
      </c>
      <c r="AN49" s="1159">
        <f t="shared" si="10"/>
        <v>43.175</v>
      </c>
      <c r="AO49" s="1161">
        <f t="shared" si="32"/>
        <v>44.5</v>
      </c>
      <c r="AP49" s="1159">
        <f t="shared" si="11"/>
        <v>45.875</v>
      </c>
      <c r="AQ49" s="1072"/>
      <c r="AR49" s="1066">
        <f t="shared" si="19"/>
        <v>2.299999999999997</v>
      </c>
      <c r="AS49" s="1084">
        <f t="shared" si="9"/>
        <v>2.3499999999999996</v>
      </c>
      <c r="AT49" s="1149">
        <f t="shared" si="20"/>
        <v>2.6999999999999997</v>
      </c>
      <c r="AW49" s="1162">
        <v>35.8</v>
      </c>
      <c r="AX49" s="1162">
        <v>38.1</v>
      </c>
      <c r="AY49" s="1183">
        <v>41.7</v>
      </c>
      <c r="AZ49" s="1162">
        <v>44.1</v>
      </c>
      <c r="BA49" s="1150">
        <f t="shared" si="12"/>
        <v>44.33333333333216</v>
      </c>
      <c r="BB49" s="1151"/>
      <c r="BD49" s="1152"/>
    </row>
    <row r="50" spans="8:8" ht="15.0">
      <c r="A50" s="1065">
        <f t="shared" si="1"/>
        <v>0.15833333333333877</v>
      </c>
      <c r="B50" s="1073">
        <f t="shared" si="0"/>
        <v>22.166666666667428</v>
      </c>
      <c r="C50" s="1089"/>
      <c r="D50" s="1184"/>
      <c r="E50" s="1166" t="s">
        <v>157</v>
      </c>
      <c r="F50" s="1166">
        <f>LOOKUP(B1,E40:E48,F40:F48)</f>
        <v>0.0085</v>
      </c>
      <c r="G50" s="1166">
        <f>LOOKUP(B1,E40:E48,G40:G48)</f>
        <v>0.0063</v>
      </c>
      <c r="H50" s="1086"/>
      <c r="I50" s="1168">
        <v>75.0</v>
      </c>
      <c r="J50" s="1167">
        <f t="shared" si="26"/>
        <v>1.25</v>
      </c>
      <c r="K50" s="1167">
        <f t="shared" si="27"/>
        <v>1.3333333333333333</v>
      </c>
      <c r="L50" s="1185">
        <f t="shared" si="28"/>
        <v>1.2833333333333332</v>
      </c>
      <c r="M50" s="1156">
        <f t="shared" si="13"/>
        <v>32.49999999999913</v>
      </c>
      <c r="N50" s="1120">
        <f t="shared" si="14"/>
        <v>36.625</v>
      </c>
      <c r="O50" s="1164"/>
      <c r="P50" s="1089"/>
      <c r="Q50" s="1080"/>
      <c r="R50" s="1088"/>
      <c r="S50" s="1166" t="s">
        <v>157</v>
      </c>
      <c r="T50" s="1166">
        <f>LOOKUP(B1,S40:S48,T40:T48)</f>
        <v>0.0085</v>
      </c>
      <c r="U50" s="1166">
        <f>LOOKUP(B1,S40:S48,U40:U48)</f>
        <v>0.0063</v>
      </c>
      <c r="V50" s="1086"/>
      <c r="W50" s="1168">
        <v>75.0</v>
      </c>
      <c r="X50" s="1167">
        <f t="shared" si="29"/>
        <v>1.25</v>
      </c>
      <c r="Y50" s="1167">
        <f t="shared" si="30"/>
        <v>1.3333333333333333</v>
      </c>
      <c r="Z50" s="1185">
        <f t="shared" si="31"/>
        <v>1.2833333333333332</v>
      </c>
      <c r="AA50" s="1156">
        <f t="shared" si="15"/>
        <v>32.49999999999913</v>
      </c>
      <c r="AB50" s="1120">
        <f t="shared" si="21"/>
        <v>36.625</v>
      </c>
      <c r="AC50" s="1164"/>
      <c r="AD50" s="1089"/>
      <c r="AF50" s="1165">
        <f t="shared" si="16"/>
        <v>45.49999999999879</v>
      </c>
      <c r="AG50" s="1158">
        <f t="shared" si="17"/>
        <v>32.49999999999913</v>
      </c>
      <c r="AH50" s="1066">
        <f t="shared" si="4"/>
        <v>36.625</v>
      </c>
      <c r="AI50" s="1159">
        <f t="shared" si="18"/>
        <v>37.825</v>
      </c>
      <c r="AJ50" s="1132">
        <f t="shared" si="5"/>
        <v>39.025</v>
      </c>
      <c r="AK50" s="1159">
        <f t="shared" si="18"/>
        <v>40.25</v>
      </c>
      <c r="AL50" s="1160">
        <f t="shared" si="6"/>
        <v>41.475</v>
      </c>
      <c r="AM50" s="1161">
        <f t="shared" si="7"/>
        <v>42.75</v>
      </c>
      <c r="AN50" s="1159">
        <f t="shared" si="10"/>
        <v>44.075</v>
      </c>
      <c r="AO50" s="1161">
        <f t="shared" si="32"/>
        <v>45.4</v>
      </c>
      <c r="AP50" s="1159">
        <f t="shared" si="11"/>
        <v>46.775000000000006</v>
      </c>
      <c r="AQ50" s="1072"/>
      <c r="AR50" s="1066">
        <f t="shared" si="19"/>
        <v>2.3999999999999986</v>
      </c>
      <c r="AS50" s="1084">
        <f t="shared" si="9"/>
        <v>2.4499999999999997</v>
      </c>
      <c r="AT50" s="1149">
        <f t="shared" si="20"/>
        <v>2.6999999999999997</v>
      </c>
      <c r="AW50" s="1162">
        <v>36.6</v>
      </c>
      <c r="AX50" s="1162">
        <v>39.0</v>
      </c>
      <c r="AY50" s="1162">
        <v>42.6</v>
      </c>
      <c r="AZ50" s="1162">
        <v>45.0</v>
      </c>
      <c r="BA50" s="1150">
        <f t="shared" si="12"/>
        <v>45.49999999999879</v>
      </c>
      <c r="BB50" s="1151"/>
      <c r="BD50" s="1152"/>
    </row>
    <row r="51" spans="8:8" ht="14.25">
      <c r="A51" s="1065">
        <f t="shared" si="1"/>
        <v>0.16111111111111676</v>
      </c>
      <c r="B51" s="1073">
        <f t="shared" si="0"/>
        <v>22.555555555556346</v>
      </c>
      <c r="C51" s="1089"/>
      <c r="D51" s="1175" t="s">
        <v>164</v>
      </c>
      <c r="E51" s="1175"/>
      <c r="F51" s="1086" t="s">
        <v>165</v>
      </c>
      <c r="G51" s="1086" t="s">
        <v>166</v>
      </c>
      <c r="H51" s="1086"/>
      <c r="I51" s="1086"/>
      <c r="J51" s="1086"/>
      <c r="K51" s="1086"/>
      <c r="L51" s="1087"/>
      <c r="M51" s="1156">
        <f t="shared" si="13"/>
        <v>33.33333333333243</v>
      </c>
      <c r="N51" s="1120">
        <f t="shared" si="14"/>
        <v>37.425</v>
      </c>
      <c r="O51" s="656">
        <f>M49*($H$18-N50)*($H$18-N51)*($H$18-N52)*($H$18-N53)/((N49-N50)*(N49-N51)*(N49-N52)*(N49-N53))+M50*($H$18-N49)*($H$18-N51)*($H$18-N52)*($H$18-N53)/((N50-N49)*(N50-N51)*(N50-N52)*(N50-N53))+M51*($H$18-N49)*($H$18-N50)*($H$18-N52)*($H$18-N53)/((N51-N49)*(N51-N50)*(N51-N52)*(N51-N53))+M52*($H$18-N49)*($H$18-N50)*($H$18-N51)*($H$18-N53)/((N52-N49)*(N52-N50)*(N52-N51)*(N52-N53))+M53*($H$18-N49)*($H$18-N50)*($H$18-N51)*($H$18-N52)/((N53-N49)*(N53-N50)*(N53-N51)*(N53-N52))</f>
        <v>262.71984004974365</v>
      </c>
      <c r="P51" s="1089"/>
      <c r="Q51" s="1080"/>
      <c r="R51" s="1174" t="s">
        <v>164</v>
      </c>
      <c r="S51" s="1175"/>
      <c r="T51" s="1086" t="s">
        <v>167</v>
      </c>
      <c r="U51" s="1086" t="s">
        <v>168</v>
      </c>
      <c r="V51" s="1086"/>
      <c r="W51" s="1086"/>
      <c r="Z51" s="1086"/>
      <c r="AA51" s="1170">
        <f t="shared" si="15"/>
        <v>33.33333333333243</v>
      </c>
      <c r="AB51" s="1120">
        <f t="shared" si="21"/>
        <v>37.425</v>
      </c>
      <c r="AC51" s="656">
        <f>AA49*($V$18-AB50)*($V$18-AB51)*($V$18-AB52)*($V$18-AB53)/((AB49-AB50)*(AB49-AB51)*(AB49-AB52)*(AB49-AB53))+AA50*($V$18-AB49)*($V$18-AB51)*($V$18-AB52)*($V$18-AB53)/((AB50-AB49)*(AB50-AB51)*(AB50-AB52)*(AB50-AB53))+AA51*($V$18-AB49)*($V$18-AB50)*($V$18-AB52)*($V$18-AB53)/((AB51-AB49)*(AB51-AB50)*(AB51-AB52)*(AB51-AB53))+AA52*($V$18-AB49)*($V$18-AB50)*($V$18-AB51)*($V$18-AB53)/((AB52-AB49)*(AB52-AB50)*(AB52-AB51)*(AB52-AB53))+AA53*($V$18-AB49)*($V$18-AB50)*($V$18-AB51)*($V$18-AB52)/((AB53-AB49)*(AB53-AB50)*(AB53-AB51)*(AB53-AB52))</f>
        <v>274.3519992828369</v>
      </c>
      <c r="AD51" s="1089"/>
      <c r="AF51" s="1157">
        <f t="shared" si="16"/>
        <v>46.66666666666541</v>
      </c>
      <c r="AG51" s="1158">
        <f t="shared" si="17"/>
        <v>33.33333333333243</v>
      </c>
      <c r="AH51" s="1066">
        <f t="shared" si="4"/>
        <v>37.425</v>
      </c>
      <c r="AI51" s="1159">
        <f t="shared" si="18"/>
        <v>38.625</v>
      </c>
      <c r="AJ51" s="1132">
        <f t="shared" si="5"/>
        <v>39.824999999999996</v>
      </c>
      <c r="AK51" s="1159">
        <f t="shared" si="18"/>
        <v>41.050000000000004</v>
      </c>
      <c r="AL51" s="1160">
        <f t="shared" si="6"/>
        <v>42.27500000000001</v>
      </c>
      <c r="AM51" s="1161">
        <f t="shared" si="7"/>
        <v>43.65</v>
      </c>
      <c r="AN51" s="1159">
        <f t="shared" si="10"/>
        <v>45.025</v>
      </c>
      <c r="AO51" s="1161">
        <f t="shared" si="32"/>
        <v>46.4</v>
      </c>
      <c r="AP51" s="1159">
        <f t="shared" si="11"/>
        <v>47.824999999999996</v>
      </c>
      <c r="AQ51" s="1072"/>
      <c r="AR51" s="1066">
        <f t="shared" si="19"/>
        <v>2.4000000000000057</v>
      </c>
      <c r="AS51" s="1084">
        <f t="shared" si="9"/>
        <v>2.45000000000001</v>
      </c>
      <c r="AT51" s="1149">
        <f t="shared" si="20"/>
        <v>2.8</v>
      </c>
      <c r="AW51" s="1162">
        <v>37.4</v>
      </c>
      <c r="AX51" s="1162">
        <v>39.8</v>
      </c>
      <c r="AY51" s="1162">
        <v>43.5</v>
      </c>
      <c r="AZ51" s="1162">
        <v>46.0</v>
      </c>
      <c r="BA51" s="1150">
        <f t="shared" si="12"/>
        <v>46.66666666666541</v>
      </c>
      <c r="BB51" s="1151"/>
      <c r="BD51" s="1152"/>
    </row>
    <row r="52" spans="8:8" ht="15.0">
      <c r="A52" s="1065">
        <f t="shared" si="1"/>
        <v>0.16388888888889477</v>
      </c>
      <c r="B52" s="1073">
        <f t="shared" si="0"/>
        <v>22.944444444445267</v>
      </c>
      <c r="C52" s="1089"/>
      <c r="D52" s="1086"/>
      <c r="E52" s="1086"/>
      <c r="F52" s="1086"/>
      <c r="G52" s="1086"/>
      <c r="H52" s="1086"/>
      <c r="I52" s="1086"/>
      <c r="J52" s="1086"/>
      <c r="K52" s="1086"/>
      <c r="L52" s="1087"/>
      <c r="M52" s="1156">
        <f t="shared" si="13"/>
        <v>34.16666666666573</v>
      </c>
      <c r="N52" s="1120">
        <f t="shared" si="14"/>
        <v>38.225</v>
      </c>
      <c r="O52" s="1164"/>
      <c r="P52" s="1089"/>
      <c r="Q52" s="1080"/>
      <c r="R52" s="1174"/>
      <c r="S52" s="1175"/>
      <c r="T52" s="1086"/>
      <c r="U52" s="1086"/>
      <c r="V52" s="1086"/>
      <c r="W52" s="1086"/>
      <c r="Z52" s="1086"/>
      <c r="AA52" s="1170">
        <f t="shared" si="15"/>
        <v>34.16666666666573</v>
      </c>
      <c r="AB52" s="1120">
        <f t="shared" si="21"/>
        <v>38.225</v>
      </c>
      <c r="AC52" s="1164"/>
      <c r="AD52" s="1089"/>
      <c r="AF52" s="1157">
        <f t="shared" si="16"/>
        <v>47.83333333333203</v>
      </c>
      <c r="AG52" s="1158">
        <f t="shared" si="17"/>
        <v>34.16666666666573</v>
      </c>
      <c r="AH52" s="1066">
        <f t="shared" si="4"/>
        <v>38.225</v>
      </c>
      <c r="AI52" s="1159">
        <f t="shared" si="18"/>
        <v>39.475</v>
      </c>
      <c r="AJ52" s="1132">
        <f t="shared" si="5"/>
        <v>40.725</v>
      </c>
      <c r="AK52" s="1159">
        <f t="shared" si="18"/>
        <v>42.0</v>
      </c>
      <c r="AL52" s="1160">
        <f t="shared" si="6"/>
        <v>43.275</v>
      </c>
      <c r="AM52" s="1161">
        <f t="shared" si="7"/>
        <v>44.55</v>
      </c>
      <c r="AN52" s="1159">
        <f t="shared" si="10"/>
        <v>45.974999999999994</v>
      </c>
      <c r="AO52" s="1161">
        <f t="shared" si="32"/>
        <v>47.4</v>
      </c>
      <c r="AP52" s="1159">
        <f t="shared" si="11"/>
        <v>48.875</v>
      </c>
      <c r="AQ52" s="1072"/>
      <c r="AR52" s="1066">
        <f t="shared" si="19"/>
        <v>2.5</v>
      </c>
      <c r="AS52" s="1084">
        <f t="shared" si="9"/>
        <v>2.55</v>
      </c>
      <c r="AT52" s="1149">
        <f t="shared" si="20"/>
        <v>2.9</v>
      </c>
      <c r="AW52" s="1162">
        <v>38.2</v>
      </c>
      <c r="AX52" s="1162">
        <v>40.7</v>
      </c>
      <c r="AY52" s="1162">
        <v>44.4</v>
      </c>
      <c r="AZ52" s="1162">
        <v>47.0</v>
      </c>
      <c r="BA52" s="1150">
        <f t="shared" si="12"/>
        <v>47.83333333333203</v>
      </c>
      <c r="BB52" s="1151"/>
      <c r="BD52" s="1152"/>
    </row>
    <row r="53" spans="8:8" ht="15.0">
      <c r="A53" s="1065">
        <f t="shared" si="1"/>
        <v>0.16666666666667276</v>
      </c>
      <c r="B53" s="1073">
        <f t="shared" si="0"/>
        <v>23.33333333333419</v>
      </c>
      <c r="C53" s="1089"/>
      <c r="D53" s="1184"/>
      <c r="E53" s="1086"/>
      <c r="F53" s="1086"/>
      <c r="G53" s="1086"/>
      <c r="H53" s="1086"/>
      <c r="I53" s="1107" t="s">
        <v>150</v>
      </c>
      <c r="J53" s="1107" t="s">
        <v>252</v>
      </c>
      <c r="K53" s="1086"/>
      <c r="L53" s="1087"/>
      <c r="M53" s="1156">
        <f t="shared" si="13"/>
        <v>34.999999999999034</v>
      </c>
      <c r="N53" s="1120">
        <f t="shared" si="14"/>
        <v>39.025</v>
      </c>
      <c r="O53" s="1164"/>
      <c r="P53" s="1089"/>
      <c r="Q53" s="1080"/>
      <c r="R53" s="1088"/>
      <c r="S53" s="1086"/>
      <c r="T53" s="1086"/>
      <c r="U53" s="1086"/>
      <c r="V53" s="1086"/>
      <c r="W53" s="1107" t="s">
        <v>150</v>
      </c>
      <c r="X53" s="1107" t="s">
        <v>252</v>
      </c>
      <c r="Z53" s="1086"/>
      <c r="AA53" s="1170">
        <f t="shared" si="15"/>
        <v>34.999999999999034</v>
      </c>
      <c r="AB53" s="1120">
        <f t="shared" si="21"/>
        <v>39.025</v>
      </c>
      <c r="AC53" s="1164"/>
      <c r="AD53" s="1089"/>
      <c r="AF53" s="1171">
        <f t="shared" si="16"/>
        <v>48.99999999999864</v>
      </c>
      <c r="AG53" s="1158">
        <f t="shared" si="17"/>
        <v>34.999999999999034</v>
      </c>
      <c r="AH53" s="1143">
        <f t="shared" si="4"/>
        <v>39.025</v>
      </c>
      <c r="AI53" s="1147">
        <f t="shared" si="18"/>
        <v>40.275</v>
      </c>
      <c r="AJ53" s="1172">
        <f t="shared" si="5"/>
        <v>41.525</v>
      </c>
      <c r="AK53" s="1147">
        <f t="shared" si="18"/>
        <v>42.8</v>
      </c>
      <c r="AL53" s="1172">
        <f t="shared" si="6"/>
        <v>44.074999999999996</v>
      </c>
      <c r="AM53" s="1147">
        <f t="shared" si="7"/>
        <v>45.449999999999996</v>
      </c>
      <c r="AN53" s="1147">
        <f t="shared" si="10"/>
        <v>46.875</v>
      </c>
      <c r="AO53" s="1147">
        <f t="shared" si="32"/>
        <v>48.3</v>
      </c>
      <c r="AP53" s="1147">
        <f t="shared" si="11"/>
        <v>49.775</v>
      </c>
      <c r="AQ53" s="1072"/>
      <c r="AR53" s="1066">
        <f t="shared" si="19"/>
        <v>2.5</v>
      </c>
      <c r="AS53" s="1084">
        <f t="shared" si="9"/>
        <v>2.55</v>
      </c>
      <c r="AT53" s="1149">
        <f t="shared" si="20"/>
        <v>2.9</v>
      </c>
      <c r="AW53" s="1172">
        <v>39.0</v>
      </c>
      <c r="AX53" s="1172">
        <v>41.5</v>
      </c>
      <c r="AY53" s="1172">
        <v>45.3</v>
      </c>
      <c r="AZ53" s="1172">
        <v>47.9</v>
      </c>
      <c r="BA53" s="1150">
        <f t="shared" si="12"/>
        <v>48.99999999999864</v>
      </c>
      <c r="BB53" s="1151"/>
      <c r="BD53" s="1152"/>
    </row>
    <row r="54" spans="8:8" ht="14.25">
      <c r="A54" s="1065">
        <f t="shared" si="1"/>
        <v>0.16944444444445078</v>
      </c>
      <c r="B54" s="1073">
        <f t="shared" si="0"/>
        <v>23.72222222222311</v>
      </c>
      <c r="D54" s="1085"/>
      <c r="E54" s="1086"/>
      <c r="F54" s="1086"/>
      <c r="G54" s="1086"/>
      <c r="H54" s="1086"/>
      <c r="I54" s="1186">
        <f>N17</f>
        <v>6.425000000000001</v>
      </c>
      <c r="J54" s="1187">
        <f>IF(ABS(O19)&gt;100,100,O19)</f>
        <v>100.0</v>
      </c>
      <c r="K54" s="1086"/>
      <c r="L54" s="1087"/>
      <c r="M54" s="1156">
        <f t="shared" si="13"/>
        <v>35.833333333332334</v>
      </c>
      <c r="N54" s="1120">
        <f t="shared" si="14"/>
        <v>39.824999999999996</v>
      </c>
      <c r="O54" s="1164"/>
      <c r="P54" s="1089"/>
      <c r="Q54" s="1080"/>
      <c r="R54" s="1088"/>
      <c r="S54" s="1086"/>
      <c r="T54" s="1086"/>
      <c r="U54" s="1086"/>
      <c r="V54" s="1086"/>
      <c r="W54" s="1186">
        <f>AB17</f>
        <v>6.425000000000001</v>
      </c>
      <c r="X54" s="1187">
        <f>IF(ABS(AC19)&gt;100,100,AC19)</f>
        <v>100.0</v>
      </c>
      <c r="Z54" s="1086"/>
      <c r="AA54" s="1170">
        <f t="shared" si="15"/>
        <v>35.833333333332334</v>
      </c>
      <c r="AB54" s="1120">
        <f t="shared" si="21"/>
        <v>39.824999999999996</v>
      </c>
      <c r="AC54" s="1164"/>
      <c r="AD54" s="1089"/>
      <c r="AF54" s="1157">
        <f t="shared" si="16"/>
        <v>50.16666666666527</v>
      </c>
      <c r="AG54" s="1158">
        <f t="shared" si="17"/>
        <v>35.833333333332334</v>
      </c>
      <c r="AH54" s="1066">
        <f t="shared" si="4"/>
        <v>39.824999999999996</v>
      </c>
      <c r="AI54" s="1159">
        <f t="shared" si="18"/>
        <v>41.125</v>
      </c>
      <c r="AJ54" s="1132">
        <f t="shared" si="5"/>
        <v>42.425</v>
      </c>
      <c r="AK54" s="1159">
        <f t="shared" si="18"/>
        <v>43.74999999999999</v>
      </c>
      <c r="AL54" s="1160">
        <f t="shared" si="6"/>
        <v>45.07499999999999</v>
      </c>
      <c r="AM54" s="1161">
        <f t="shared" si="7"/>
        <v>46.35</v>
      </c>
      <c r="AN54" s="1159">
        <f t="shared" si="10"/>
        <v>47.825</v>
      </c>
      <c r="AO54" s="1161">
        <f t="shared" si="33" ref="AO54:AO59">AZ54+2.5*AZ$15</f>
        <v>49.3</v>
      </c>
      <c r="AP54" s="1159">
        <f t="shared" si="11"/>
        <v>50.825</v>
      </c>
      <c r="AQ54" s="1072"/>
      <c r="AR54" s="1066">
        <f t="shared" si="19"/>
        <v>2.5999999999999943</v>
      </c>
      <c r="AS54" s="1084">
        <f t="shared" si="9"/>
        <v>2.6499999999999897</v>
      </c>
      <c r="AT54" s="1149">
        <f t="shared" si="20"/>
        <v>3.0</v>
      </c>
      <c r="AW54" s="1162">
        <v>39.8</v>
      </c>
      <c r="AX54" s="1162">
        <v>42.4</v>
      </c>
      <c r="AY54" s="1162">
        <v>46.2</v>
      </c>
      <c r="AZ54" s="1162">
        <v>48.8</v>
      </c>
      <c r="BA54" s="1150">
        <f t="shared" si="12"/>
        <v>50.16666666666527</v>
      </c>
      <c r="BB54" s="1151"/>
      <c r="BD54" s="1152"/>
    </row>
    <row r="55" spans="8:8" ht="14.25">
      <c r="A55" s="1065">
        <f t="shared" si="1"/>
        <v>0.17222222222222877</v>
      </c>
      <c r="B55" s="1073">
        <f t="shared" si="0"/>
        <v>24.111111111112027</v>
      </c>
      <c r="D55" s="1085"/>
      <c r="E55" s="1086"/>
      <c r="I55" s="1188">
        <f>N21</f>
        <v>10.525</v>
      </c>
      <c r="J55" s="1170">
        <f>IF(ABS(O23)&gt;100,100,O23)</f>
        <v>100.0</v>
      </c>
      <c r="K55" s="1086"/>
      <c r="L55" s="1087"/>
      <c r="M55" s="1156">
        <f t="shared" si="13"/>
        <v>36.666666666665634</v>
      </c>
      <c r="N55" s="1120">
        <f t="shared" si="14"/>
        <v>40.625</v>
      </c>
      <c r="O55" s="656">
        <f>M53*($H$18-N54)*($H$18-N55)*($H$18-N56)*($H$18-N57)/((N53-N54)*(N53-N55)*(N53-N56)*(N53-N57))+M54*($H$18-N53)*($H$18-N55)*($H$18-N56)*($H$18-N57)/((N54-N53)*(N54-N55)*(N54-N56)*(N54-N57))+M55*($H$18-N53)*($H$18-N54)*($H$18-N56)*($H$18-N57)/((N55-N53)*(N55-N54)*(N55-N56)*(N55-N57))+M56*($H$18-N53)*($H$18-N54)*($H$18-N55)*($H$18-N57)/((N56-N53)*(N56-N54)*(N56-N55)*(N56-N57))+M57*($H$18-N53)*($H$18-N54)*($H$18-N55)*($H$18-N56)/((N57-N53)*(N57-N54)*(N57-N55)*(N57-N56))</f>
        <v>3.108604007349968E7</v>
      </c>
      <c r="P55" s="1089"/>
      <c r="Q55" s="1080"/>
      <c r="R55" s="1088"/>
      <c r="W55" s="1188">
        <f>AB21</f>
        <v>10.525</v>
      </c>
      <c r="X55" s="1170">
        <f>IF(ABS(AC23)&gt;100,100,AC23)</f>
        <v>100.0</v>
      </c>
      <c r="Z55" s="1086"/>
      <c r="AA55" s="1170">
        <f t="shared" si="15"/>
        <v>36.666666666665634</v>
      </c>
      <c r="AB55" s="1120">
        <f t="shared" si="21"/>
        <v>40.625</v>
      </c>
      <c r="AC55" s="656">
        <f>AA53*($V$18-AB54)*($V$18-AB55)*($V$18-AB56)*($V$18-AB57)/((AB53-AB54)*(AB53-AB55)*(AB53-AB56)*(AB53-AB57))+AA54*($V$18-AB53)*($V$18-AB55)*($V$18-AB56)*($V$18-AB57)/((AB54-AB53)*(AB54-AB55)*(AB54-AB56)*(AB54-AB57))+AA55*($V$18-AB53)*($V$18-AB54)*($V$18-AB56)*($V$18-AB57)/((AB55-AB53)*(AB55-AB54)*(AB55-AB56)*(AB55-AB57))+AA56*($V$18-AB53)*($V$18-AB54)*($V$18-AB55)*($V$18-AB57)/((AB56-AB53)*(AB56-AB54)*(AB56-AB55)*(AB56-AB57))+AA57*($V$18-AB53)*($V$18-AB54)*($V$18-AB55)*($V$18-AB56)/((AB57-AB53)*(AB57-AB54)*(AB57-AB55)*(AB57-AB56))</f>
        <v>3.798193358109856E7</v>
      </c>
      <c r="AD55" s="1089"/>
      <c r="AF55" s="1157">
        <f t="shared" si="16"/>
        <v>51.333333333331886</v>
      </c>
      <c r="AG55" s="1158">
        <f t="shared" si="17"/>
        <v>36.666666666665634</v>
      </c>
      <c r="AH55" s="1066">
        <f t="shared" si="4"/>
        <v>40.625</v>
      </c>
      <c r="AI55" s="1159">
        <f t="shared" si="18"/>
        <v>41.925</v>
      </c>
      <c r="AJ55" s="1132">
        <f t="shared" si="5"/>
        <v>43.225</v>
      </c>
      <c r="AK55" s="1159">
        <f t="shared" si="18"/>
        <v>44.55</v>
      </c>
      <c r="AL55" s="1160">
        <f t="shared" si="6"/>
        <v>45.875</v>
      </c>
      <c r="AM55" s="1161">
        <f t="shared" si="7"/>
        <v>47.25</v>
      </c>
      <c r="AN55" s="1159">
        <f t="shared" si="10"/>
        <v>48.775</v>
      </c>
      <c r="AO55" s="1161">
        <f t="shared" si="33"/>
        <v>50.3</v>
      </c>
      <c r="AP55" s="1159">
        <f t="shared" si="11"/>
        <v>51.875</v>
      </c>
      <c r="AQ55" s="1072"/>
      <c r="AR55" s="1066">
        <f t="shared" si="19"/>
        <v>2.6000000000000014</v>
      </c>
      <c r="AS55" s="1084">
        <f t="shared" si="9"/>
        <v>2.65</v>
      </c>
      <c r="AT55" s="1149">
        <f t="shared" si="20"/>
        <v>3.0999999999999996</v>
      </c>
      <c r="AW55" s="1162">
        <v>40.6</v>
      </c>
      <c r="AX55" s="1162">
        <v>43.2</v>
      </c>
      <c r="AY55" s="1162">
        <v>47.1</v>
      </c>
      <c r="AZ55" s="1162">
        <v>49.8</v>
      </c>
      <c r="BA55" s="1150">
        <f t="shared" si="12"/>
        <v>51.333333333331886</v>
      </c>
      <c r="BB55" s="1151"/>
      <c r="BD55" s="1152"/>
    </row>
    <row r="56" spans="8:8" ht="14.25">
      <c r="A56" s="1065">
        <f t="shared" si="1"/>
        <v>0.17500000000000676</v>
      </c>
      <c r="B56" s="1073">
        <f t="shared" si="0"/>
        <v>24.500000000000945</v>
      </c>
      <c r="D56" s="1085"/>
      <c r="E56" s="1086"/>
      <c r="I56" s="1188">
        <f>N25</f>
        <v>14.425</v>
      </c>
      <c r="J56" s="1170">
        <f>IF(ABS(O27)&gt;100,100,O27)</f>
        <v>100.0</v>
      </c>
      <c r="K56" s="1086"/>
      <c r="L56" s="1086"/>
      <c r="M56" s="1170">
        <f t="shared" si="13"/>
        <v>37.499999999998934</v>
      </c>
      <c r="N56" s="1120">
        <f t="shared" si="14"/>
        <v>41.425</v>
      </c>
      <c r="O56" s="1164"/>
      <c r="P56" s="1089"/>
      <c r="Q56" s="1080"/>
      <c r="R56" s="1088"/>
      <c r="W56" s="1188">
        <f>AB25</f>
        <v>14.425</v>
      </c>
      <c r="X56" s="1170">
        <f>IF(ABS(AC27)&gt;100,100,AC27)</f>
        <v>100.0</v>
      </c>
      <c r="Z56" s="1086"/>
      <c r="AA56" s="1170">
        <f t="shared" si="15"/>
        <v>37.499999999998934</v>
      </c>
      <c r="AB56" s="1120">
        <f t="shared" si="21"/>
        <v>41.425</v>
      </c>
      <c r="AC56" s="1164"/>
      <c r="AD56" s="1089"/>
      <c r="AF56" s="1157">
        <f t="shared" si="16"/>
        <v>52.49999999999851</v>
      </c>
      <c r="AG56" s="1158">
        <f t="shared" si="17"/>
        <v>37.499999999998934</v>
      </c>
      <c r="AH56" s="1066">
        <f t="shared" si="4"/>
        <v>41.425</v>
      </c>
      <c r="AI56" s="1159">
        <f t="shared" si="18"/>
        <v>42.724999999999994</v>
      </c>
      <c r="AJ56" s="1132">
        <f t="shared" si="5"/>
        <v>44.025</v>
      </c>
      <c r="AK56" s="1159">
        <f t="shared" si="18"/>
        <v>45.349999999999994</v>
      </c>
      <c r="AL56" s="1160">
        <f t="shared" si="6"/>
        <v>46.675</v>
      </c>
      <c r="AM56" s="1161">
        <f t="shared" si="7"/>
        <v>48.15</v>
      </c>
      <c r="AN56" s="1159">
        <f t="shared" si="10"/>
        <v>49.675</v>
      </c>
      <c r="AO56" s="1161">
        <f t="shared" si="33"/>
        <v>51.2</v>
      </c>
      <c r="AP56" s="1159">
        <f t="shared" si="11"/>
        <v>52.775</v>
      </c>
      <c r="AQ56" s="1072"/>
      <c r="AR56" s="1066">
        <f t="shared" si="19"/>
        <v>2.6000000000000014</v>
      </c>
      <c r="AS56" s="1084">
        <f t="shared" si="9"/>
        <v>2.65</v>
      </c>
      <c r="AT56" s="1149">
        <f t="shared" si="20"/>
        <v>3.0999999999999996</v>
      </c>
      <c r="AW56" s="1162">
        <v>41.4</v>
      </c>
      <c r="AX56" s="1162">
        <v>44.0</v>
      </c>
      <c r="AY56" s="1162">
        <v>48.0</v>
      </c>
      <c r="AZ56" s="1162">
        <v>50.7</v>
      </c>
      <c r="BA56" s="1150">
        <f t="shared" si="12"/>
        <v>52.49999999999851</v>
      </c>
      <c r="BB56" s="1151"/>
      <c r="BD56" s="1152"/>
    </row>
    <row r="57" spans="8:8" ht="14.25">
      <c r="A57" s="1065">
        <f t="shared" si="1"/>
        <v>0.17777777777778478</v>
      </c>
      <c r="B57" s="1073">
        <f t="shared" si="0"/>
        <v>24.88888888888987</v>
      </c>
      <c r="D57" s="1085"/>
      <c r="E57" s="1086"/>
      <c r="I57" s="1188">
        <f>N29</f>
        <v>18.325</v>
      </c>
      <c r="J57" s="1170">
        <f>IF(ABS(O31)&gt;100,100,O31)</f>
        <v>100.0</v>
      </c>
      <c r="K57" s="1086"/>
      <c r="L57" s="1086"/>
      <c r="M57" s="1170">
        <f t="shared" si="13"/>
        <v>38.333333333332234</v>
      </c>
      <c r="N57" s="1120">
        <f t="shared" si="14"/>
        <v>42.125</v>
      </c>
      <c r="O57" s="1164"/>
      <c r="P57" s="1089"/>
      <c r="Q57" s="1080"/>
      <c r="R57" s="1088"/>
      <c r="W57" s="1188">
        <f>AB29</f>
        <v>18.325</v>
      </c>
      <c r="X57" s="1170">
        <f>IF(ABS(AC31)&gt;100,100,AC31)</f>
        <v>100.0</v>
      </c>
      <c r="Z57" s="1086"/>
      <c r="AA57" s="1170">
        <f t="shared" si="15"/>
        <v>38.333333333332234</v>
      </c>
      <c r="AB57" s="1120">
        <f t="shared" si="21"/>
        <v>42.125</v>
      </c>
      <c r="AC57" s="1164"/>
      <c r="AD57" s="1089"/>
      <c r="AF57" s="1157">
        <f t="shared" si="16"/>
        <v>53.66666666666513</v>
      </c>
      <c r="AG57" s="1158">
        <f t="shared" si="17"/>
        <v>38.333333333332234</v>
      </c>
      <c r="AH57" s="1066">
        <f t="shared" si="4"/>
        <v>42.125</v>
      </c>
      <c r="AI57" s="1159">
        <f t="shared" si="18"/>
        <v>43.474999999999994</v>
      </c>
      <c r="AJ57" s="1132">
        <f t="shared" si="5"/>
        <v>44.824999999999996</v>
      </c>
      <c r="AK57" s="1159">
        <f t="shared" si="18"/>
        <v>46.2</v>
      </c>
      <c r="AL57" s="1160">
        <f t="shared" si="6"/>
        <v>47.575</v>
      </c>
      <c r="AM57" s="1161">
        <f t="shared" si="7"/>
        <v>48.949999999999996</v>
      </c>
      <c r="AN57" s="1159">
        <f t="shared" si="10"/>
        <v>50.525</v>
      </c>
      <c r="AO57" s="1161">
        <f t="shared" si="33"/>
        <v>52.1</v>
      </c>
      <c r="AP57" s="1159">
        <f t="shared" si="11"/>
        <v>53.72500000000001</v>
      </c>
      <c r="AQ57" s="1072"/>
      <c r="AR57" s="1066">
        <f t="shared" si="19"/>
        <v>2.700000000000003</v>
      </c>
      <c r="AS57" s="1084">
        <f t="shared" si="9"/>
        <v>2.75</v>
      </c>
      <c r="AT57" s="1149">
        <f t="shared" si="20"/>
        <v>3.20000000000001</v>
      </c>
      <c r="AW57" s="1162">
        <v>42.1</v>
      </c>
      <c r="AX57" s="1162">
        <v>44.8</v>
      </c>
      <c r="AY57" s="1162">
        <v>48.8</v>
      </c>
      <c r="AZ57" s="1162">
        <v>51.6</v>
      </c>
      <c r="BA57" s="1150">
        <f t="shared" si="12"/>
        <v>53.66666666666513</v>
      </c>
      <c r="BB57" s="1151"/>
      <c r="BD57" s="1152"/>
    </row>
    <row r="58" spans="8:8" ht="14.25">
      <c r="A58" s="1065">
        <f t="shared" si="1"/>
        <v>0.18055555555556277</v>
      </c>
      <c r="B58" s="1073">
        <f t="shared" si="0"/>
        <v>25.277777777778788</v>
      </c>
      <c r="D58" s="1085"/>
      <c r="E58" s="1086"/>
      <c r="F58" s="1086"/>
      <c r="G58" s="1086"/>
      <c r="H58" s="1086"/>
      <c r="I58" s="1188">
        <f>N33</f>
        <v>22.025</v>
      </c>
      <c r="J58" s="1170">
        <f>IF(ABS(O35)&gt;100,100,O35)</f>
        <v>100.0</v>
      </c>
      <c r="K58" s="1086"/>
      <c r="L58" s="1086"/>
      <c r="M58" s="1170">
        <f t="shared" si="13"/>
        <v>39.166666666665535</v>
      </c>
      <c r="N58" s="1120">
        <f t="shared" si="14"/>
        <v>42.925</v>
      </c>
      <c r="O58" s="1164"/>
      <c r="P58" s="1089"/>
      <c r="Q58" s="1080"/>
      <c r="R58" s="1088"/>
      <c r="S58" s="1086"/>
      <c r="T58" s="1086"/>
      <c r="U58" s="1086"/>
      <c r="V58" s="1086"/>
      <c r="W58" s="1188">
        <f>AB33</f>
        <v>22.025</v>
      </c>
      <c r="X58" s="1170">
        <f>IF(ABS(AC35)&gt;100,100,AC35)</f>
        <v>100.0</v>
      </c>
      <c r="Z58" s="1086"/>
      <c r="AA58" s="1170">
        <f t="shared" si="15"/>
        <v>39.166666666665535</v>
      </c>
      <c r="AB58" s="1120">
        <f t="shared" si="21"/>
        <v>42.925</v>
      </c>
      <c r="AC58" s="1164"/>
      <c r="AD58" s="1089"/>
      <c r="AF58" s="1157">
        <f t="shared" si="16"/>
        <v>54.83333333333175</v>
      </c>
      <c r="AG58" s="1158">
        <f t="shared" si="17"/>
        <v>39.166666666665535</v>
      </c>
      <c r="AH58" s="1066">
        <f t="shared" si="4"/>
        <v>42.925</v>
      </c>
      <c r="AI58" s="1159">
        <f t="shared" si="18"/>
        <v>44.275</v>
      </c>
      <c r="AJ58" s="1132">
        <f t="shared" si="5"/>
        <v>45.625</v>
      </c>
      <c r="AK58" s="1159">
        <f t="shared" si="18"/>
        <v>47.0</v>
      </c>
      <c r="AL58" s="1160">
        <f t="shared" si="6"/>
        <v>48.375</v>
      </c>
      <c r="AM58" s="1161">
        <f t="shared" si="7"/>
        <v>49.85</v>
      </c>
      <c r="AN58" s="1159">
        <f t="shared" si="10"/>
        <v>51.425</v>
      </c>
      <c r="AO58" s="1161">
        <f t="shared" si="33"/>
        <v>53.0</v>
      </c>
      <c r="AP58" s="1159">
        <f t="shared" si="11"/>
        <v>54.625</v>
      </c>
      <c r="AQ58" s="1072"/>
      <c r="AR58" s="1066">
        <f t="shared" si="19"/>
        <v>2.700000000000003</v>
      </c>
      <c r="AS58" s="1084">
        <f t="shared" si="9"/>
        <v>2.75</v>
      </c>
      <c r="AT58" s="1149">
        <f t="shared" si="20"/>
        <v>3.1999999999999997</v>
      </c>
      <c r="AW58" s="1162">
        <v>42.9</v>
      </c>
      <c r="AX58" s="1162">
        <v>45.6</v>
      </c>
      <c r="AY58" s="1162">
        <v>49.7</v>
      </c>
      <c r="AZ58" s="1162">
        <v>52.5</v>
      </c>
      <c r="BA58" s="1150">
        <f t="shared" si="12"/>
        <v>54.83333333333175</v>
      </c>
      <c r="BB58" s="1151"/>
      <c r="BD58" s="1152"/>
    </row>
    <row r="59" spans="8:8" ht="14.25">
      <c r="A59" s="1065">
        <f t="shared" si="1"/>
        <v>0.18333333333334076</v>
      </c>
      <c r="B59" s="1073">
        <f t="shared" si="0"/>
        <v>25.666666666667705</v>
      </c>
      <c r="D59" s="1085"/>
      <c r="E59" s="1086"/>
      <c r="F59" s="1086"/>
      <c r="G59" s="1086"/>
      <c r="H59" s="1086"/>
      <c r="I59" s="1188">
        <f>N37</f>
        <v>25.625</v>
      </c>
      <c r="J59" s="1170">
        <f>IF(ABS(O39)&gt;100,100,O39)</f>
        <v>100.0</v>
      </c>
      <c r="K59" s="1086"/>
      <c r="L59" s="1086"/>
      <c r="M59" s="1170">
        <f t="shared" si="13"/>
        <v>39.999999999998835</v>
      </c>
      <c r="N59" s="1120">
        <f t="shared" si="14"/>
        <v>43.725</v>
      </c>
      <c r="O59" s="656">
        <f>M57*($H$18-N58)*($H$18-N59)*($H$18-N60)*($H$18-N61)/((N57-N58)*(N57-N59)*(N57-N60)*(N57-N61))+M58*($H$18-N57)*($H$18-N59)*($H$18-N60)*($H$18-N61)/((N58-N57)*(N58-N59)*(N58-N60)*(N58-N61))+M59*($H$18-N57)*($H$18-N58)*($H$18-N60)*($H$18-N61)/((N59-N57)*(N59-N58)*(N59-N60)*(N59-N61))+M60*($H$18-N57)*($H$18-N58)*($H$18-N59)*($H$18-N61)/((N60-N57)*(N60-N58)*(N60-N59)*(N60-N61))+M61*($H$18-N57)*($H$18-N58)*($H$18-N59)*($H$18-N60)/((N61-N57)*(N61-N58)*(N61-N59)*(N61-N60))</f>
        <v>262.8239803314209</v>
      </c>
      <c r="P59" s="1089"/>
      <c r="Q59" s="1080"/>
      <c r="R59" s="1088"/>
      <c r="S59" s="1086"/>
      <c r="T59" s="1086"/>
      <c r="U59" s="1086"/>
      <c r="V59" s="1086"/>
      <c r="W59" s="1188">
        <f>AB37</f>
        <v>25.625</v>
      </c>
      <c r="X59" s="1170">
        <f>IF(ABS(AC39)&gt;100,100,AC39)</f>
        <v>100.0</v>
      </c>
      <c r="Z59" s="1086"/>
      <c r="AA59" s="1170">
        <f t="shared" si="15"/>
        <v>39.999999999998835</v>
      </c>
      <c r="AB59" s="1120">
        <f t="shared" si="21"/>
        <v>43.725</v>
      </c>
      <c r="AC59" s="656">
        <f>AA57*($V$18-AB58)*($V$18-AB59)*($V$18-AB60)*($V$18-AB61)/((AB57-AB58)*(AB57-AB59)*(AB57-AB60)*(AB57-AB61))+AA58*($V$18-AB57)*($V$18-AB59)*($V$18-AB60)*($V$18-AB61)/((AB58-AB57)*(AB58-AB59)*(AB58-AB60)*(AB58-AB61))+AA59*($V$18-AB57)*($V$18-AB58)*($V$18-AB60)*($V$18-AB61)/((AB59-AB57)*(AB59-AB58)*(AB59-AB60)*(AB59-AB61))+AA60*($V$18-AB57)*($V$18-AB58)*($V$18-AB59)*($V$18-AB61)/((AB60-AB57)*(AB60-AB58)*(AB60-AB59)*(AB60-AB61))+AA61*($V$18-AB57)*($V$18-AB58)*($V$18-AB59)*($V$18-AB60)/((AB61-AB57)*(AB61-AB58)*(AB61-AB59)*(AB61-AB60))</f>
        <v>274.4561004638672</v>
      </c>
      <c r="AD59" s="1089"/>
      <c r="AF59" s="1171">
        <f t="shared" si="16"/>
        <v>55.99999999999837</v>
      </c>
      <c r="AG59" s="1158">
        <f t="shared" si="17"/>
        <v>39.999999999998835</v>
      </c>
      <c r="AH59" s="1143">
        <f t="shared" si="4"/>
        <v>43.725</v>
      </c>
      <c r="AI59" s="1147">
        <f t="shared" si="18"/>
        <v>45.125</v>
      </c>
      <c r="AJ59" s="1172">
        <f t="shared" si="5"/>
        <v>46.525</v>
      </c>
      <c r="AK59" s="1147">
        <f t="shared" si="18"/>
        <v>47.95</v>
      </c>
      <c r="AL59" s="1172">
        <f t="shared" si="6"/>
        <v>49.375</v>
      </c>
      <c r="AM59" s="1147">
        <f t="shared" si="7"/>
        <v>50.75</v>
      </c>
      <c r="AN59" s="1147">
        <f t="shared" si="10"/>
        <v>52.325</v>
      </c>
      <c r="AO59" s="1147">
        <f t="shared" si="33"/>
        <v>53.9</v>
      </c>
      <c r="AP59" s="1147">
        <f t="shared" si="11"/>
        <v>55.525000000000006</v>
      </c>
      <c r="AQ59" s="1072"/>
      <c r="AR59" s="1066">
        <f t="shared" si="19"/>
        <v>2.799999999999997</v>
      </c>
      <c r="AS59" s="1084">
        <f t="shared" si="9"/>
        <v>2.8499999999999996</v>
      </c>
      <c r="AT59" s="1149">
        <f t="shared" si="20"/>
        <v>3.1999999999999997</v>
      </c>
      <c r="AW59" s="1172">
        <v>43.7</v>
      </c>
      <c r="AX59" s="1172">
        <v>46.5</v>
      </c>
      <c r="AY59" s="1172">
        <v>50.6</v>
      </c>
      <c r="AZ59" s="1172">
        <v>53.4</v>
      </c>
      <c r="BA59" s="1150">
        <f t="shared" si="12"/>
        <v>55.99999999999837</v>
      </c>
      <c r="BB59" s="1151"/>
      <c r="BD59" s="1152"/>
    </row>
    <row r="60" spans="8:8" ht="14.25">
      <c r="A60" s="1065">
        <f t="shared" si="1"/>
        <v>0.18611111111111878</v>
      </c>
      <c r="B60" s="1073">
        <f t="shared" si="0"/>
        <v>26.05555555555663</v>
      </c>
      <c r="D60" s="1085"/>
      <c r="E60" s="1086"/>
      <c r="F60" s="1086"/>
      <c r="G60" s="1086"/>
      <c r="H60" s="1086"/>
      <c r="I60" s="1188">
        <f>N41</f>
        <v>29.125</v>
      </c>
      <c r="J60" s="1170">
        <f>IF(ABS(O43)&gt;100,100,O43)</f>
        <v>100.0</v>
      </c>
      <c r="K60" s="1086"/>
      <c r="L60" s="1086"/>
      <c r="M60" s="1170">
        <f t="shared" si="13"/>
        <v>40.833333333332135</v>
      </c>
      <c r="N60" s="1120">
        <f t="shared" si="14"/>
        <v>44.525</v>
      </c>
      <c r="O60" s="1164"/>
      <c r="P60" s="1089"/>
      <c r="Q60" s="1080"/>
      <c r="R60" s="1088"/>
      <c r="S60" s="1086"/>
      <c r="T60" s="1086"/>
      <c r="U60" s="1086"/>
      <c r="V60" s="1086"/>
      <c r="W60" s="1188">
        <f>AB41</f>
        <v>29.125</v>
      </c>
      <c r="X60" s="1170">
        <f>IF(ABS(AC43)&gt;100,100,AC43)</f>
        <v>100.0</v>
      </c>
      <c r="Z60" s="1086"/>
      <c r="AA60" s="1170">
        <f t="shared" si="15"/>
        <v>40.833333333332135</v>
      </c>
      <c r="AB60" s="1120">
        <f t="shared" si="21"/>
        <v>44.525</v>
      </c>
      <c r="AC60" s="1164"/>
      <c r="AD60" s="1089"/>
      <c r="AF60" s="1157">
        <f t="shared" si="16"/>
        <v>57.16666666666499</v>
      </c>
      <c r="AG60" s="1158">
        <f t="shared" si="17"/>
        <v>40.833333333332135</v>
      </c>
      <c r="AH60" s="1066">
        <f t="shared" si="4"/>
        <v>44.525</v>
      </c>
      <c r="AI60" s="1159">
        <f t="shared" si="18"/>
        <v>45.925</v>
      </c>
      <c r="AJ60" s="1132">
        <f t="shared" si="5"/>
        <v>47.324999999999996</v>
      </c>
      <c r="AK60" s="1159">
        <f t="shared" si="18"/>
        <v>48.75</v>
      </c>
      <c r="AL60" s="1160">
        <f t="shared" si="6"/>
        <v>50.175000000000004</v>
      </c>
      <c r="AM60" s="1161">
        <f t="shared" si="7"/>
        <v>51.55</v>
      </c>
      <c r="AN60" s="1159">
        <f t="shared" si="10"/>
        <v>53.224999999999994</v>
      </c>
      <c r="AO60" s="1161">
        <f t="shared" si="34" ref="AO60:AO65">AZ60+3*AZ$15</f>
        <v>54.9</v>
      </c>
      <c r="AP60" s="1159">
        <f t="shared" si="11"/>
        <v>56.625</v>
      </c>
      <c r="AQ60" s="1072"/>
      <c r="AR60" s="1066">
        <f t="shared" si="19"/>
        <v>2.8000000000000043</v>
      </c>
      <c r="AS60" s="1084">
        <f t="shared" si="9"/>
        <v>2.8499999999999996</v>
      </c>
      <c r="AT60" s="1149">
        <f t="shared" si="20"/>
        <v>3.4</v>
      </c>
      <c r="AW60" s="1162">
        <v>44.5</v>
      </c>
      <c r="AX60" s="1162">
        <v>47.3</v>
      </c>
      <c r="AY60" s="1162">
        <v>51.4</v>
      </c>
      <c r="AZ60" s="1162">
        <v>54.3</v>
      </c>
      <c r="BA60" s="1150">
        <f t="shared" si="12"/>
        <v>57.16666666666499</v>
      </c>
      <c r="BB60" s="1151"/>
      <c r="BD60" s="1152"/>
    </row>
    <row r="61" spans="8:8" ht="14.25">
      <c r="A61" s="1065">
        <f t="shared" si="1"/>
        <v>0.18888888888889677</v>
      </c>
      <c r="B61" s="1073">
        <f t="shared" si="0"/>
        <v>26.444444444445548</v>
      </c>
      <c r="D61" s="1085"/>
      <c r="E61" s="1086"/>
      <c r="F61" s="1086"/>
      <c r="G61" s="1086"/>
      <c r="H61" s="1086"/>
      <c r="I61" s="1188">
        <f>N45</f>
        <v>32.525</v>
      </c>
      <c r="J61" s="1170">
        <f>IF(ABS(O47)&gt;100,100,O47)</f>
        <v>100.0</v>
      </c>
      <c r="K61" s="1086"/>
      <c r="L61" s="1086"/>
      <c r="M61" s="1170">
        <f t="shared" si="13"/>
        <v>41.666666666665435</v>
      </c>
      <c r="N61" s="1120">
        <f t="shared" si="14"/>
        <v>45.324999999999996</v>
      </c>
      <c r="O61" s="1164"/>
      <c r="P61" s="1089"/>
      <c r="Q61" s="1080"/>
      <c r="R61" s="1088"/>
      <c r="S61" s="1086"/>
      <c r="T61" s="1086"/>
      <c r="U61" s="1086"/>
      <c r="V61" s="1086"/>
      <c r="W61" s="1188">
        <f>AB45</f>
        <v>32.525</v>
      </c>
      <c r="X61" s="1170">
        <f>IF(ABS(AC47)&gt;100,100,AC47)</f>
        <v>100.0</v>
      </c>
      <c r="Z61" s="1086"/>
      <c r="AA61" s="1170">
        <f t="shared" si="15"/>
        <v>41.666666666665435</v>
      </c>
      <c r="AB61" s="1120">
        <f t="shared" si="21"/>
        <v>45.324999999999996</v>
      </c>
      <c r="AC61" s="1164"/>
      <c r="AD61" s="1089"/>
      <c r="AF61" s="1157">
        <f t="shared" si="16"/>
        <v>58.33333333333161</v>
      </c>
      <c r="AG61" s="1158">
        <f t="shared" si="17"/>
        <v>41.666666666665435</v>
      </c>
      <c r="AH61" s="1066">
        <f t="shared" si="4"/>
        <v>45.324999999999996</v>
      </c>
      <c r="AI61" s="1159">
        <f t="shared" si="18"/>
        <v>46.724999999999994</v>
      </c>
      <c r="AJ61" s="1132">
        <f t="shared" si="5"/>
        <v>48.125</v>
      </c>
      <c r="AK61" s="1159">
        <f t="shared" si="18"/>
        <v>49.55</v>
      </c>
      <c r="AL61" s="1160">
        <f t="shared" si="6"/>
        <v>50.975</v>
      </c>
      <c r="AM61" s="1161">
        <f t="shared" si="7"/>
        <v>52.449999999999996</v>
      </c>
      <c r="AN61" s="1159">
        <f t="shared" si="10"/>
        <v>54.075</v>
      </c>
      <c r="AO61" s="1161">
        <f t="shared" si="34"/>
        <v>55.7</v>
      </c>
      <c r="AP61" s="1159">
        <f t="shared" si="11"/>
        <v>57.375000000000014</v>
      </c>
      <c r="AQ61" s="1072"/>
      <c r="AR61" s="1066">
        <f t="shared" si="19"/>
        <v>2.799999999999997</v>
      </c>
      <c r="AS61" s="1084">
        <f t="shared" si="9"/>
        <v>2.8499999999999996</v>
      </c>
      <c r="AT61" s="1149">
        <f t="shared" si="20"/>
        <v>3.30000000000001</v>
      </c>
      <c r="AW61" s="1162">
        <v>45.3</v>
      </c>
      <c r="AX61" s="1162">
        <v>48.1</v>
      </c>
      <c r="AY61" s="1162">
        <v>52.3</v>
      </c>
      <c r="AZ61" s="1162">
        <v>55.1</v>
      </c>
      <c r="BA61" s="1150">
        <f t="shared" si="12"/>
        <v>58.33333333333161</v>
      </c>
      <c r="BB61" s="1151"/>
      <c r="BD61" s="1152"/>
    </row>
    <row r="62" spans="8:8" ht="14.25">
      <c r="A62" s="1065">
        <f t="shared" si="1"/>
        <v>0.19166666666667476</v>
      </c>
      <c r="B62" s="1073">
        <f t="shared" si="0"/>
        <v>26.833333333334465</v>
      </c>
      <c r="D62" s="1085"/>
      <c r="E62" s="1086"/>
      <c r="F62" s="1086"/>
      <c r="G62" s="1086"/>
      <c r="H62" s="1086"/>
      <c r="I62" s="1188">
        <f>N49</f>
        <v>35.824999999999996</v>
      </c>
      <c r="J62" s="1170">
        <f>IF(ABS(O51)&gt;100,100,O51)</f>
        <v>100.0</v>
      </c>
      <c r="K62" s="1086"/>
      <c r="L62" s="1086"/>
      <c r="M62" s="1170">
        <f t="shared" si="13"/>
        <v>42.499999999998735</v>
      </c>
      <c r="N62" s="1120">
        <f t="shared" si="14"/>
        <v>46.125</v>
      </c>
      <c r="O62" s="1164"/>
      <c r="P62" s="1089"/>
      <c r="Q62" s="1080"/>
      <c r="R62" s="1088"/>
      <c r="S62" s="1086"/>
      <c r="T62" s="1086"/>
      <c r="U62" s="1086"/>
      <c r="V62" s="1086"/>
      <c r="W62" s="1188">
        <f>AB49</f>
        <v>35.824999999999996</v>
      </c>
      <c r="X62" s="1170">
        <f>IF(ABS(AC51)&gt;100,100,AC51)</f>
        <v>100.0</v>
      </c>
      <c r="Z62" s="1086"/>
      <c r="AA62" s="1170">
        <f t="shared" si="15"/>
        <v>42.499999999998735</v>
      </c>
      <c r="AB62" s="1120">
        <f t="shared" si="21"/>
        <v>46.125</v>
      </c>
      <c r="AC62" s="1164"/>
      <c r="AD62" s="1089"/>
      <c r="AF62" s="1157">
        <f t="shared" si="16"/>
        <v>59.499999999998224</v>
      </c>
      <c r="AG62" s="1158">
        <f t="shared" si="17"/>
        <v>42.499999999998735</v>
      </c>
      <c r="AH62" s="1066">
        <f t="shared" si="4"/>
        <v>46.125</v>
      </c>
      <c r="AI62" s="1159">
        <f t="shared" si="18"/>
        <v>47.525</v>
      </c>
      <c r="AJ62" s="1132">
        <f t="shared" si="5"/>
        <v>48.925</v>
      </c>
      <c r="AK62" s="1159">
        <f t="shared" si="18"/>
        <v>50.349999999999994</v>
      </c>
      <c r="AL62" s="1160">
        <f t="shared" si="6"/>
        <v>51.775</v>
      </c>
      <c r="AM62" s="1161">
        <f t="shared" si="7"/>
        <v>53.35</v>
      </c>
      <c r="AN62" s="1159">
        <f t="shared" si="10"/>
        <v>54.975</v>
      </c>
      <c r="AO62" s="1161">
        <f t="shared" si="34"/>
        <v>56.6</v>
      </c>
      <c r="AP62" s="1159">
        <f t="shared" si="11"/>
        <v>58.275</v>
      </c>
      <c r="AQ62" s="1072"/>
      <c r="AR62" s="1066">
        <f t="shared" si="19"/>
        <v>2.799999999999997</v>
      </c>
      <c r="AS62" s="1084">
        <f t="shared" si="9"/>
        <v>2.8499999999999996</v>
      </c>
      <c r="AT62" s="1149">
        <f t="shared" si="20"/>
        <v>3.3</v>
      </c>
      <c r="AW62" s="1162">
        <v>46.1</v>
      </c>
      <c r="AX62" s="1162">
        <v>48.9</v>
      </c>
      <c r="AY62" s="1162">
        <v>53.2</v>
      </c>
      <c r="AZ62" s="1162">
        <v>56.0</v>
      </c>
      <c r="BA62" s="1150">
        <f t="shared" si="12"/>
        <v>59.499999999998224</v>
      </c>
      <c r="BB62" s="1151"/>
      <c r="BD62" s="1152"/>
    </row>
    <row r="63" spans="8:8" ht="14.25">
      <c r="A63" s="1065">
        <f t="shared" si="1"/>
        <v>0.19444444444445277</v>
      </c>
      <c r="B63" s="1073">
        <f t="shared" si="0"/>
        <v>27.222222222223387</v>
      </c>
      <c r="D63" s="1085"/>
      <c r="E63" s="1086"/>
      <c r="F63" s="1086"/>
      <c r="G63" s="1086"/>
      <c r="H63" s="1086"/>
      <c r="I63" s="1188">
        <f>N53</f>
        <v>39.025</v>
      </c>
      <c r="J63" s="1170">
        <f>IF(ABS(O55)&gt;100,100,O55)</f>
        <v>100.0</v>
      </c>
      <c r="K63" s="1086"/>
      <c r="L63" s="1086"/>
      <c r="M63" s="1170">
        <f t="shared" si="13"/>
        <v>43.333333333332035</v>
      </c>
      <c r="N63" s="1120">
        <f t="shared" si="14"/>
        <v>46.824999999999996</v>
      </c>
      <c r="O63" s="656">
        <f>M61*($H$18-N62)*($H$18-N63)*($H$18-N64)*($H$18-N65)/((N61-N62)*(N61-N63)*(N61-N64)*(N61-N65))+M62*($H$18-N61)*($H$18-N63)*($H$18-N64)*($H$18-N65)/((N62-N61)*(N62-N63)*(N62-N64)*(N62-N65))+M63*($H$18-N61)*($H$18-N62)*($H$18-N64)*($H$18-N65)/((N63-N61)*(N63-N62)*(N63-N64)*(N63-N65))+M64*($H$18-N61)*($H$18-N62)*($H$18-N63)*($H$18-N65)/((N64-N61)*(N64-N62)*(N64-N63)*(N64-N65))+M65*($H$18-N61)*($H$18-N62)*($H$18-N63)*($H$18-N64)/((N65-N61)*(N65-N62)*(N65-N63)*(N65-N64))</f>
        <v>-422172.0725002289</v>
      </c>
      <c r="P63" s="1089"/>
      <c r="Q63" s="1080"/>
      <c r="R63" s="1088"/>
      <c r="S63" s="1086"/>
      <c r="T63" s="1086"/>
      <c r="U63" s="1086"/>
      <c r="V63" s="1086"/>
      <c r="W63" s="1188">
        <f>AB53</f>
        <v>39.025</v>
      </c>
      <c r="X63" s="1170">
        <f>IF(ABS(AC55)&gt;100,100,AC55)</f>
        <v>100.0</v>
      </c>
      <c r="Z63" s="1086"/>
      <c r="AA63" s="1170">
        <f t="shared" si="15"/>
        <v>43.333333333332035</v>
      </c>
      <c r="AB63" s="1120">
        <f t="shared" si="21"/>
        <v>46.824999999999996</v>
      </c>
      <c r="AC63" s="656">
        <f>AA61*($V$18-AB62)*($V$18-AB63)*($V$18-AB64)*($V$18-AB65)/((AB61-AB62)*(AB61-AB63)*(AB61-AB64)*(AB61-AB65))+AA62*($V$18-AB61)*($V$18-AB63)*($V$18-AB64)*($V$18-AB65)/((AB62-AB61)*(AB62-AB63)*(AB62-AB64)*(AB62-AB65))+AA63*($V$18-AB61)*($V$18-AB62)*($V$18-AB64)*($V$18-AB65)/((AB63-AB61)*(AB63-AB62)*(AB63-AB64)*(AB63-AB65))+AA64*($V$18-AB61)*($V$18-AB62)*($V$18-AB63)*($V$18-AB65)/((AB64-AB61)*(AB64-AB62)*(AB64-AB63)*(AB64-AB65))+AA65*($V$18-AB61)*($V$18-AB62)*($V$18-AB63)*($V$18-AB64)/((AB65-AB61)*(AB65-AB62)*(AB65-AB63)*(AB65-AB64))</f>
        <v>-492913.8474006653</v>
      </c>
      <c r="AD63" s="1089"/>
      <c r="AF63" s="1157">
        <f t="shared" si="16"/>
        <v>60.66666666666485</v>
      </c>
      <c r="AG63" s="1158">
        <f t="shared" si="17"/>
        <v>43.333333333332035</v>
      </c>
      <c r="AH63" s="1066">
        <f t="shared" si="4"/>
        <v>46.824999999999996</v>
      </c>
      <c r="AI63" s="1159">
        <f t="shared" si="18"/>
        <v>48.275</v>
      </c>
      <c r="AJ63" s="1132">
        <f t="shared" si="5"/>
        <v>49.725</v>
      </c>
      <c r="AK63" s="1159">
        <f t="shared" si="18"/>
        <v>51.2</v>
      </c>
      <c r="AL63" s="1160">
        <f t="shared" si="6"/>
        <v>52.675000000000004</v>
      </c>
      <c r="AM63" s="1161">
        <f t="shared" si="7"/>
        <v>54.15</v>
      </c>
      <c r="AN63" s="1159">
        <f t="shared" si="10"/>
        <v>55.825</v>
      </c>
      <c r="AO63" s="1161">
        <f t="shared" si="34"/>
        <v>57.5</v>
      </c>
      <c r="AP63" s="1159">
        <f t="shared" si="11"/>
        <v>59.225</v>
      </c>
      <c r="AQ63" s="1072"/>
      <c r="AR63" s="1066">
        <f t="shared" si="19"/>
        <v>2.8999999999999986</v>
      </c>
      <c r="AS63" s="1084">
        <f t="shared" si="9"/>
        <v>2.9499999999999997</v>
      </c>
      <c r="AT63" s="1149">
        <f t="shared" si="20"/>
        <v>3.4</v>
      </c>
      <c r="AW63" s="1162">
        <v>46.8</v>
      </c>
      <c r="AX63" s="1162">
        <v>49.7</v>
      </c>
      <c r="AY63" s="1162">
        <v>54.0</v>
      </c>
      <c r="AZ63" s="1162">
        <v>56.9</v>
      </c>
      <c r="BA63" s="1150">
        <f t="shared" si="12"/>
        <v>60.66666666666485</v>
      </c>
      <c r="BB63" s="1151"/>
      <c r="BD63" s="1152"/>
    </row>
    <row r="64" spans="8:8" ht="14.25">
      <c r="A64" s="1065">
        <f t="shared" si="1"/>
        <v>0.19722222222223076</v>
      </c>
      <c r="B64" s="1073">
        <f t="shared" si="0"/>
        <v>27.611111111112308</v>
      </c>
      <c r="D64" s="1085"/>
      <c r="E64" s="1086"/>
      <c r="F64" s="1086"/>
      <c r="G64" s="1086"/>
      <c r="H64" s="1086"/>
      <c r="I64" s="1188">
        <f>N57</f>
        <v>42.125</v>
      </c>
      <c r="J64" s="1170">
        <f>IF(ABS(O59)&gt;100,100,O59)</f>
        <v>100.0</v>
      </c>
      <c r="K64" s="1086"/>
      <c r="L64" s="1086"/>
      <c r="M64" s="1170">
        <f t="shared" si="13"/>
        <v>44.166666666665336</v>
      </c>
      <c r="N64" s="1120">
        <f t="shared" si="14"/>
        <v>47.525</v>
      </c>
      <c r="O64" s="1164"/>
      <c r="P64" s="1089"/>
      <c r="Q64" s="1080"/>
      <c r="R64" s="1088"/>
      <c r="S64" s="1086"/>
      <c r="T64" s="1086"/>
      <c r="U64" s="1086"/>
      <c r="V64" s="1086"/>
      <c r="W64" s="1188">
        <f>AB57</f>
        <v>42.125</v>
      </c>
      <c r="X64" s="1170">
        <f>IF(ABS(AC59)&gt;100,100,AC59)</f>
        <v>100.0</v>
      </c>
      <c r="Z64" s="1086"/>
      <c r="AA64" s="1170">
        <f t="shared" si="15"/>
        <v>44.166666666665336</v>
      </c>
      <c r="AB64" s="1120">
        <f t="shared" si="21"/>
        <v>47.525</v>
      </c>
      <c r="AC64" s="1164"/>
      <c r="AD64" s="1089"/>
      <c r="AF64" s="1157">
        <f t="shared" si="16"/>
        <v>61.83333333333147</v>
      </c>
      <c r="AG64" s="1158">
        <f t="shared" si="17"/>
        <v>44.166666666665336</v>
      </c>
      <c r="AH64" s="1066">
        <f t="shared" si="4"/>
        <v>47.525</v>
      </c>
      <c r="AI64" s="1159">
        <f t="shared" si="18"/>
        <v>48.974999999999994</v>
      </c>
      <c r="AJ64" s="1132">
        <f t="shared" si="5"/>
        <v>50.425</v>
      </c>
      <c r="AK64" s="1159">
        <f t="shared" si="18"/>
        <v>51.9</v>
      </c>
      <c r="AL64" s="1160">
        <f t="shared" si="6"/>
        <v>53.375</v>
      </c>
      <c r="AM64" s="1161">
        <f t="shared" si="7"/>
        <v>54.949999999999996</v>
      </c>
      <c r="AN64" s="1159">
        <f t="shared" si="10"/>
        <v>56.675</v>
      </c>
      <c r="AO64" s="1161">
        <f t="shared" si="34"/>
        <v>58.4</v>
      </c>
      <c r="AP64" s="1159">
        <f t="shared" si="11"/>
        <v>60.175</v>
      </c>
      <c r="AQ64" s="1072"/>
      <c r="AR64" s="1066">
        <f t="shared" si="19"/>
        <v>2.8999999999999986</v>
      </c>
      <c r="AS64" s="1084">
        <f t="shared" si="9"/>
        <v>2.9499999999999997</v>
      </c>
      <c r="AT64" s="1149">
        <f t="shared" si="20"/>
        <v>3.5</v>
      </c>
      <c r="AW64" s="1162">
        <v>47.5</v>
      </c>
      <c r="AX64" s="1162">
        <v>50.4</v>
      </c>
      <c r="AY64" s="1162">
        <v>54.8</v>
      </c>
      <c r="AZ64" s="1162">
        <v>57.8</v>
      </c>
      <c r="BA64" s="1150">
        <f t="shared" si="12"/>
        <v>61.83333333333147</v>
      </c>
      <c r="BB64" s="1151"/>
      <c r="BD64" s="1152"/>
    </row>
    <row r="65" spans="8:8" ht="14.25">
      <c r="A65" s="1065">
        <f t="shared" si="1"/>
        <v>0.20000000000000875</v>
      </c>
      <c r="B65" s="1073">
        <f t="shared" si="0"/>
        <v>28.000000000001226</v>
      </c>
      <c r="D65" s="1085"/>
      <c r="E65" s="1086"/>
      <c r="F65" s="1086"/>
      <c r="G65" s="1086"/>
      <c r="H65" s="1086"/>
      <c r="I65" s="1188">
        <f>N61</f>
        <v>45.324999999999996</v>
      </c>
      <c r="J65" s="1170">
        <f>IF(ABS(O63)&gt;100,100,O63)</f>
        <v>100.0</v>
      </c>
      <c r="K65" s="1086"/>
      <c r="L65" s="1086"/>
      <c r="M65" s="1170">
        <f t="shared" si="13"/>
        <v>44.999999999998636</v>
      </c>
      <c r="N65" s="1120">
        <f t="shared" si="14"/>
        <v>48.324999999999996</v>
      </c>
      <c r="O65" s="1164"/>
      <c r="P65" s="1089"/>
      <c r="Q65" s="1080"/>
      <c r="R65" s="1088"/>
      <c r="S65" s="1086"/>
      <c r="T65" s="1086"/>
      <c r="U65" s="1086"/>
      <c r="V65" s="1086"/>
      <c r="W65" s="1188">
        <f>AB61</f>
        <v>45.324999999999996</v>
      </c>
      <c r="X65" s="1170">
        <f>IF(ABS(AC63)&gt;100,100,AC63)</f>
        <v>100.0</v>
      </c>
      <c r="Z65" s="1086"/>
      <c r="AA65" s="1170">
        <f t="shared" si="15"/>
        <v>44.999999999998636</v>
      </c>
      <c r="AB65" s="1120">
        <f t="shared" si="21"/>
        <v>48.324999999999996</v>
      </c>
      <c r="AC65" s="1164"/>
      <c r="AD65" s="1089"/>
      <c r="AF65" s="1171">
        <f t="shared" si="16"/>
        <v>62.99999999999809</v>
      </c>
      <c r="AG65" s="1158">
        <f t="shared" si="17"/>
        <v>44.999999999998636</v>
      </c>
      <c r="AH65" s="1143">
        <f t="shared" si="4"/>
        <v>48.324999999999996</v>
      </c>
      <c r="AI65" s="1147">
        <f t="shared" si="18"/>
        <v>49.824999999999996</v>
      </c>
      <c r="AJ65" s="1172">
        <f t="shared" si="5"/>
        <v>51.324999999999996</v>
      </c>
      <c r="AK65" s="1147">
        <f t="shared" si="18"/>
        <v>52.849999999999994</v>
      </c>
      <c r="AL65" s="1172">
        <f t="shared" si="6"/>
        <v>54.375</v>
      </c>
      <c r="AM65" s="1147">
        <f t="shared" si="7"/>
        <v>55.75</v>
      </c>
      <c r="AN65" s="1147">
        <f t="shared" si="10"/>
        <v>57.475</v>
      </c>
      <c r="AO65" s="1147">
        <f t="shared" si="34"/>
        <v>59.2</v>
      </c>
      <c r="AP65" s="1147">
        <f>AN65+AT65</f>
        <v>60.975</v>
      </c>
      <c r="AQ65" s="1072"/>
      <c r="AR65" s="1066">
        <f t="shared" si="19"/>
        <v>3.0</v>
      </c>
      <c r="AS65" s="1084">
        <f t="shared" si="9"/>
        <v>3.05</v>
      </c>
      <c r="AT65" s="1149">
        <f t="shared" si="20"/>
        <v>3.5</v>
      </c>
      <c r="AW65" s="1172">
        <v>48.3</v>
      </c>
      <c r="AX65" s="1172">
        <v>51.3</v>
      </c>
      <c r="AY65" s="1172">
        <v>55.6</v>
      </c>
      <c r="AZ65" s="1172">
        <v>58.6</v>
      </c>
      <c r="BA65" s="1150">
        <f t="shared" si="12"/>
        <v>62.99999999999809</v>
      </c>
      <c r="BB65" s="1151"/>
      <c r="BD65" s="1152"/>
    </row>
    <row r="66" spans="8:8" ht="14.25">
      <c r="A66" s="1065">
        <f t="shared" si="1"/>
        <v>0.20277777777778677</v>
      </c>
      <c r="B66" s="1073">
        <f t="shared" si="0"/>
        <v>28.388888888890147</v>
      </c>
      <c r="D66" s="1085"/>
      <c r="E66" s="1086"/>
      <c r="F66" s="1086"/>
      <c r="G66" s="1086"/>
      <c r="H66" s="1086"/>
      <c r="I66" s="1188">
        <f>N65</f>
        <v>48.324999999999996</v>
      </c>
      <c r="J66" s="1170">
        <f>IF(ABS(O67)&gt;100,100,O67)</f>
        <v>100.0</v>
      </c>
      <c r="K66" s="1086"/>
      <c r="L66" s="1086"/>
      <c r="M66" s="1170">
        <f t="shared" si="13"/>
        <v>45.833333333331936</v>
      </c>
      <c r="N66" s="1120">
        <f t="shared" si="14"/>
        <v>49.125</v>
      </c>
      <c r="O66" s="1164"/>
      <c r="P66" s="1089"/>
      <c r="Q66" s="1080"/>
      <c r="R66" s="1088"/>
      <c r="S66" s="1086"/>
      <c r="T66" s="1086"/>
      <c r="U66" s="1086"/>
      <c r="V66" s="1086"/>
      <c r="W66" s="1188">
        <f>AB65</f>
        <v>48.324999999999996</v>
      </c>
      <c r="X66" s="1170">
        <f>IF(ABS(AC67)&gt;100,100,AC67)</f>
        <v>100.0</v>
      </c>
      <c r="Z66" s="1086"/>
      <c r="AA66" s="1170">
        <f t="shared" si="15"/>
        <v>45.833333333331936</v>
      </c>
      <c r="AB66" s="1120">
        <f t="shared" si="21"/>
        <v>49.125</v>
      </c>
      <c r="AC66" s="1164"/>
      <c r="AD66" s="1089"/>
      <c r="AF66" s="1157">
        <f t="shared" si="16"/>
        <v>64.16666666666471</v>
      </c>
      <c r="AG66" s="1158">
        <f t="shared" si="17"/>
        <v>45.833333333331936</v>
      </c>
      <c r="AH66" s="1066">
        <f t="shared" si="4"/>
        <v>49.125</v>
      </c>
      <c r="AI66" s="1159">
        <f t="shared" si="18"/>
        <v>50.625</v>
      </c>
      <c r="AJ66" s="1132">
        <f t="shared" si="5"/>
        <v>52.125</v>
      </c>
      <c r="AK66" s="1159">
        <f t="shared" si="18"/>
        <v>53.65</v>
      </c>
      <c r="AL66" s="1160">
        <f t="shared" si="6"/>
        <v>55.175</v>
      </c>
      <c r="AM66" s="1161">
        <f t="shared" si="7"/>
        <v>56.55</v>
      </c>
      <c r="AN66" s="1189">
        <v>999.0</v>
      </c>
      <c r="AO66" s="1190">
        <f t="shared" si="35" ref="AO66:AO83">AZ66+AZ$15</f>
        <v>999.2</v>
      </c>
      <c r="AP66" s="1189">
        <v>999.0</v>
      </c>
      <c r="AQ66" s="1072"/>
      <c r="AR66" s="1066">
        <f t="shared" si="19"/>
        <v>3.0</v>
      </c>
      <c r="AS66" s="1084">
        <f t="shared" si="9"/>
        <v>3.05</v>
      </c>
      <c r="AT66" s="1149">
        <f>AO66-AM66+0</f>
        <v>942.65</v>
      </c>
      <c r="AW66" s="1162">
        <v>49.1</v>
      </c>
      <c r="AX66" s="1162">
        <v>52.1</v>
      </c>
      <c r="AY66" s="1162">
        <v>56.4</v>
      </c>
      <c r="AZ66" s="1183">
        <v>999.0</v>
      </c>
      <c r="BA66" s="1150">
        <f t="shared" si="12"/>
        <v>64.16666666666471</v>
      </c>
      <c r="BB66" s="1151"/>
      <c r="BD66" s="1152"/>
    </row>
    <row r="67" spans="8:8" ht="14.25">
      <c r="A67" s="1065">
        <f t="shared" si="1"/>
        <v>0.20555555555556476</v>
      </c>
      <c r="B67" s="1073">
        <f t="shared" si="36" ref="B67:B130">B$1*A67</f>
        <v>28.777777777779068</v>
      </c>
      <c r="D67" s="1085"/>
      <c r="E67" s="1086"/>
      <c r="F67" s="1086"/>
      <c r="G67" s="1086"/>
      <c r="H67" s="1086"/>
      <c r="I67" s="1188">
        <f>N69</f>
        <v>51.324999999999996</v>
      </c>
      <c r="J67" s="1170">
        <f>IF(ABS(O71)&gt;100,100,O71)</f>
        <v>100.0</v>
      </c>
      <c r="K67" s="1086"/>
      <c r="L67" s="1086"/>
      <c r="M67" s="1170">
        <f t="shared" si="13"/>
        <v>46.666666666665236</v>
      </c>
      <c r="N67" s="1120">
        <f t="shared" si="14"/>
        <v>49.824999999999996</v>
      </c>
      <c r="O67" s="656">
        <f>M65*($H$18-N66)*($H$18-N67)*($H$18-N68)*($H$18-N69)/((N65-N66)*(N65-N67)*(N65-N68)*(N65-N69))+M66*($H$18-N65)*($H$18-N67)*($H$18-N68)*($H$18-N69)/((N66-N65)*(N66-N67)*(N66-N68)*(N66-N69))+M67*($H$18-N65)*($H$18-N66)*($H$18-N68)*($H$18-N69)/((N67-N65)*(N67-N66)*(N67-N68)*(N67-N69))+M68*($H$18-N65)*($H$18-N66)*($H$18-N67)*($H$18-N69)/((N68-N65)*(N68-N66)*(N68-N67)*(N68-N69))+M69*($H$18-N65)*($H$18-N66)*($H$18-N67)*($H$18-N68)/((N69-N65)*(N69-N66)*(N69-N67)*(N69-N68))</f>
        <v>-404391.5864009857</v>
      </c>
      <c r="P67" s="1089"/>
      <c r="Q67" s="1080"/>
      <c r="R67" s="1088"/>
      <c r="S67" s="1086"/>
      <c r="T67" s="1086"/>
      <c r="U67" s="1086"/>
      <c r="V67" s="1086"/>
      <c r="W67" s="1188">
        <f>AB69</f>
        <v>51.324999999999996</v>
      </c>
      <c r="X67" s="1170">
        <f>IF(ABS(AC71)&gt;100,100,AC71)</f>
        <v>100.0</v>
      </c>
      <c r="Z67" s="1086"/>
      <c r="AA67" s="1170">
        <f t="shared" si="15"/>
        <v>46.666666666665236</v>
      </c>
      <c r="AB67" s="1120">
        <f t="shared" si="21"/>
        <v>49.824999999999996</v>
      </c>
      <c r="AC67" s="656">
        <f>AA65*($V$18-AB66)*($V$18-AB67)*($V$18-AB68)*($V$18-AB69)/((AB65-AB66)*(AB65-AB67)*(AB65-AB68)*(AB65-AB69))+AA66*($V$18-AB65)*($V$18-AB67)*($V$18-AB68)*($V$18-AB69)/((AB66-AB65)*(AB66-AB67)*(AB66-AB68)*(AB66-AB69))+AA67*($V$18-AB65)*($V$18-AB66)*($V$18-AB68)*($V$18-AB69)/((AB67-AB65)*(AB67-AB66)*(AB67-AB68)*(AB67-AB69))+AA68*($V$18-AB65)*($V$18-AB66)*($V$18-AB67)*($V$18-AB69)/((AB68-AB65)*(AB68-AB66)*(AB68-AB67)*(AB68-AB69))+AA69*($V$18-AB65)*($V$18-AB66)*($V$18-AB67)*($V$18-AB68)/((AB69-AB65)*(AB69-AB66)*(AB69-AB67)*(AB69-AB68))</f>
        <v>-473185.550201416</v>
      </c>
      <c r="AD67" s="1089"/>
      <c r="AF67" s="1157">
        <f t="shared" si="16"/>
        <v>65.33333333333132</v>
      </c>
      <c r="AG67" s="1158">
        <f t="shared" si="17"/>
        <v>46.666666666665236</v>
      </c>
      <c r="AH67" s="1066">
        <f t="shared" si="4"/>
        <v>49.824999999999996</v>
      </c>
      <c r="AI67" s="1159">
        <f t="shared" si="18"/>
        <v>51.324999999999996</v>
      </c>
      <c r="AJ67" s="1132">
        <f t="shared" si="5"/>
        <v>52.824999999999996</v>
      </c>
      <c r="AK67" s="1159">
        <f t="shared" si="18"/>
        <v>54.349999999999994</v>
      </c>
      <c r="AL67" s="1160">
        <f t="shared" si="6"/>
        <v>55.875</v>
      </c>
      <c r="AM67" s="1161">
        <f t="shared" si="7"/>
        <v>57.35</v>
      </c>
      <c r="AN67" s="1189">
        <v>999.0</v>
      </c>
      <c r="AO67" s="1190">
        <f t="shared" si="35"/>
        <v>999.2</v>
      </c>
      <c r="AP67" s="1189">
        <v>999.0</v>
      </c>
      <c r="AQ67" s="1072"/>
      <c r="AR67" s="1066">
        <f t="shared" si="19"/>
        <v>3.0</v>
      </c>
      <c r="AS67" s="1084">
        <f t="shared" si="9"/>
        <v>3.05</v>
      </c>
      <c r="AT67" s="1149">
        <f t="shared" si="37" ref="AT67:AT83">AO67-AM67+0</f>
        <v>941.85</v>
      </c>
      <c r="AW67" s="1162">
        <v>49.8</v>
      </c>
      <c r="AX67" s="1162">
        <v>52.8</v>
      </c>
      <c r="AY67" s="1162">
        <v>57.2</v>
      </c>
      <c r="AZ67" s="1162">
        <v>999.0</v>
      </c>
      <c r="BA67" s="1150">
        <f t="shared" si="12"/>
        <v>65.33333333333132</v>
      </c>
      <c r="BB67" s="1151"/>
      <c r="BD67" s="1152"/>
    </row>
    <row r="68" spans="8:8" ht="14.25">
      <c r="A68" s="1065">
        <f t="shared" si="38" ref="A68:A131">A67+(1/360)</f>
        <v>0.20833333333334278</v>
      </c>
      <c r="B68" s="1073">
        <f t="shared" si="36"/>
        <v>29.16666666666799</v>
      </c>
      <c r="D68" s="1085"/>
      <c r="E68" s="1086"/>
      <c r="F68" s="1086"/>
      <c r="G68" s="1086"/>
      <c r="H68" s="1086"/>
      <c r="I68" s="1188">
        <f>N73</f>
        <v>54.324999999999996</v>
      </c>
      <c r="J68" s="1170">
        <f>IF(ABS(O75)&gt;100,100,O75)</f>
        <v>100.0</v>
      </c>
      <c r="K68" s="1086"/>
      <c r="L68" s="1086"/>
      <c r="M68" s="1170">
        <f t="shared" si="13"/>
        <v>47.499999999998536</v>
      </c>
      <c r="N68" s="1120">
        <f t="shared" si="14"/>
        <v>50.525</v>
      </c>
      <c r="O68" s="1164"/>
      <c r="P68" s="1089"/>
      <c r="Q68" s="1080"/>
      <c r="R68" s="1088"/>
      <c r="S68" s="1086"/>
      <c r="T68" s="1086"/>
      <c r="U68" s="1086"/>
      <c r="V68" s="1086"/>
      <c r="W68" s="1188">
        <f>AB73</f>
        <v>54.324999999999996</v>
      </c>
      <c r="X68" s="1170">
        <f>IF(ABS(AC75)&gt;100,100,AC75)</f>
        <v>100.0</v>
      </c>
      <c r="Z68" s="1086"/>
      <c r="AA68" s="1170">
        <f t="shared" si="15"/>
        <v>47.499999999998536</v>
      </c>
      <c r="AB68" s="1120">
        <f t="shared" si="21"/>
        <v>50.525</v>
      </c>
      <c r="AC68" s="1164"/>
      <c r="AD68" s="1089"/>
      <c r="AF68" s="1157">
        <f t="shared" si="16"/>
        <v>66.49999999999795</v>
      </c>
      <c r="AG68" s="1158">
        <f t="shared" si="17"/>
        <v>47.499999999998536</v>
      </c>
      <c r="AH68" s="1066">
        <f t="shared" si="4"/>
        <v>50.525</v>
      </c>
      <c r="AI68" s="1159">
        <f t="shared" si="18"/>
        <v>52.075</v>
      </c>
      <c r="AJ68" s="1132">
        <f t="shared" si="5"/>
        <v>53.625</v>
      </c>
      <c r="AK68" s="1159">
        <f t="shared" si="18"/>
        <v>55.2</v>
      </c>
      <c r="AL68" s="1160">
        <f t="shared" si="6"/>
        <v>56.775</v>
      </c>
      <c r="AM68" s="1161">
        <f t="shared" si="7"/>
        <v>58.15</v>
      </c>
      <c r="AN68" s="1189">
        <v>999.0</v>
      </c>
      <c r="AO68" s="1190">
        <f t="shared" si="35"/>
        <v>999.2</v>
      </c>
      <c r="AP68" s="1189">
        <v>999.0</v>
      </c>
      <c r="AQ68" s="1072"/>
      <c r="AR68" s="1066">
        <f t="shared" si="19"/>
        <v>3.1000000000000014</v>
      </c>
      <c r="AS68" s="1084">
        <f t="shared" si="9"/>
        <v>3.15</v>
      </c>
      <c r="AT68" s="1149">
        <f t="shared" si="37"/>
        <v>941.05</v>
      </c>
      <c r="AW68" s="1162">
        <v>50.5</v>
      </c>
      <c r="AX68" s="1162">
        <v>53.6</v>
      </c>
      <c r="AY68" s="1162">
        <v>58.0</v>
      </c>
      <c r="AZ68" s="1162">
        <v>999.0</v>
      </c>
      <c r="BA68" s="1150">
        <f t="shared" si="12"/>
        <v>66.49999999999795</v>
      </c>
      <c r="BB68" s="1151"/>
      <c r="BD68" s="1152"/>
    </row>
    <row r="69" spans="8:8" ht="14.25">
      <c r="A69" s="1065">
        <f t="shared" si="38"/>
        <v>0.21111111111112077</v>
      </c>
      <c r="B69" s="1073">
        <f t="shared" si="36"/>
        <v>29.555555555556907</v>
      </c>
      <c r="D69" s="1085"/>
      <c r="E69" s="1086"/>
      <c r="F69" s="1086"/>
      <c r="G69" s="1086"/>
      <c r="H69" s="1086"/>
      <c r="I69" s="1188">
        <f>N77</f>
        <v>57.125</v>
      </c>
      <c r="J69" s="1170">
        <f>IF(ABS(O79)&gt;100,100,O79)</f>
        <v>100.0</v>
      </c>
      <c r="K69" s="1086"/>
      <c r="L69" s="1086"/>
      <c r="M69" s="1170">
        <f t="shared" si="13"/>
        <v>48.33333333333184</v>
      </c>
      <c r="N69" s="1120">
        <f t="shared" si="14"/>
        <v>51.324999999999996</v>
      </c>
      <c r="O69" s="1164"/>
      <c r="P69" s="1089"/>
      <c r="Q69" s="1080"/>
      <c r="R69" s="1088"/>
      <c r="S69" s="1086"/>
      <c r="T69" s="1086"/>
      <c r="U69" s="1086"/>
      <c r="V69" s="1086"/>
      <c r="W69" s="1188">
        <f>AB77</f>
        <v>57.125</v>
      </c>
      <c r="X69" s="1170">
        <f>IF(ABS(AC79)&gt;100,100,AC79)</f>
        <v>100.0</v>
      </c>
      <c r="Z69" s="1086"/>
      <c r="AA69" s="1170">
        <f t="shared" si="15"/>
        <v>48.33333333333184</v>
      </c>
      <c r="AB69" s="1120">
        <f t="shared" si="21"/>
        <v>51.324999999999996</v>
      </c>
      <c r="AC69" s="1164"/>
      <c r="AD69" s="1089"/>
      <c r="AF69" s="1157">
        <f t="shared" si="16"/>
        <v>67.66666666666457</v>
      </c>
      <c r="AG69" s="1158">
        <f t="shared" si="17"/>
        <v>48.33333333333184</v>
      </c>
      <c r="AH69" s="1066">
        <f t="shared" si="4"/>
        <v>51.324999999999996</v>
      </c>
      <c r="AI69" s="1159">
        <f t="shared" si="18"/>
        <v>52.875</v>
      </c>
      <c r="AJ69" s="1132">
        <f t="shared" si="5"/>
        <v>54.425</v>
      </c>
      <c r="AK69" s="1159">
        <f t="shared" si="18"/>
        <v>55.99999999999999</v>
      </c>
      <c r="AL69" s="1160">
        <f t="shared" si="6"/>
        <v>57.57499999999999</v>
      </c>
      <c r="AM69" s="1161">
        <f t="shared" si="7"/>
        <v>58.949999999999996</v>
      </c>
      <c r="AN69" s="1189">
        <v>999.0</v>
      </c>
      <c r="AO69" s="1190">
        <f t="shared" si="35"/>
        <v>999.2</v>
      </c>
      <c r="AP69" s="1189">
        <v>999.0</v>
      </c>
      <c r="AQ69" s="1072"/>
      <c r="AR69" s="1066">
        <f t="shared" si="19"/>
        <v>3.0999999999999943</v>
      </c>
      <c r="AS69" s="1084">
        <f t="shared" si="9"/>
        <v>3.1499999999999897</v>
      </c>
      <c r="AT69" s="1149">
        <f t="shared" si="37"/>
        <v>940.25</v>
      </c>
      <c r="AW69" s="1162">
        <v>51.3</v>
      </c>
      <c r="AX69" s="1162">
        <v>54.4</v>
      </c>
      <c r="AY69" s="1162">
        <v>58.8</v>
      </c>
      <c r="AZ69" s="1162">
        <v>999.0</v>
      </c>
      <c r="BA69" s="1150">
        <f t="shared" si="12"/>
        <v>67.66666666666457</v>
      </c>
      <c r="BB69" s="1151"/>
      <c r="BD69" s="1152"/>
    </row>
    <row r="70" spans="8:8" ht="15.0">
      <c r="A70" s="1065">
        <f t="shared" si="38"/>
        <v>0.21388888888889876</v>
      </c>
      <c r="B70" s="1073">
        <f t="shared" si="36"/>
        <v>29.944444444445825</v>
      </c>
      <c r="D70" s="1085"/>
      <c r="E70" s="1086"/>
      <c r="F70" s="1086"/>
      <c r="G70" s="1086"/>
      <c r="H70" s="1086"/>
      <c r="I70" s="1191">
        <f>N81</f>
        <v>59.824999999999996</v>
      </c>
      <c r="J70" s="1192">
        <f>IF(ABS(O81)&gt;100,100,O81)</f>
        <v>100.0</v>
      </c>
      <c r="K70" s="1086"/>
      <c r="L70" s="1086"/>
      <c r="M70" s="1170">
        <f t="shared" si="13"/>
        <v>49.16666666666514</v>
      </c>
      <c r="N70" s="1120">
        <f t="shared" si="14"/>
        <v>52.225</v>
      </c>
      <c r="O70" s="1164"/>
      <c r="P70" s="1089"/>
      <c r="Q70" s="1080"/>
      <c r="R70" s="1088"/>
      <c r="S70" s="1086"/>
      <c r="T70" s="1086"/>
      <c r="U70" s="1086"/>
      <c r="V70" s="1086"/>
      <c r="W70" s="1191">
        <f>AB81</f>
        <v>59.824999999999996</v>
      </c>
      <c r="X70" s="1192">
        <f>IF(ABS(AC81)&gt;100,100,AC81)</f>
        <v>100.0</v>
      </c>
      <c r="Z70" s="1086"/>
      <c r="AA70" s="1170">
        <f t="shared" si="15"/>
        <v>49.16666666666514</v>
      </c>
      <c r="AB70" s="1120">
        <f t="shared" si="21"/>
        <v>52.225</v>
      </c>
      <c r="AC70" s="1164"/>
      <c r="AD70" s="1089"/>
      <c r="AF70" s="1157">
        <f t="shared" si="16"/>
        <v>68.8333333333312</v>
      </c>
      <c r="AG70" s="1158">
        <f t="shared" si="17"/>
        <v>49.16666666666514</v>
      </c>
      <c r="AH70" s="1066">
        <f t="shared" si="4"/>
        <v>52.225</v>
      </c>
      <c r="AI70" s="1159">
        <f t="shared" si="18"/>
        <v>53.775</v>
      </c>
      <c r="AJ70" s="1132">
        <f t="shared" si="5"/>
        <v>55.324999999999996</v>
      </c>
      <c r="AK70" s="1159">
        <f t="shared" si="18"/>
        <v>56.9</v>
      </c>
      <c r="AL70" s="1160">
        <f t="shared" si="6"/>
        <v>58.475</v>
      </c>
      <c r="AM70" s="1161">
        <f t="shared" si="7"/>
        <v>59.75</v>
      </c>
      <c r="AN70" s="1189">
        <v>999.0</v>
      </c>
      <c r="AO70" s="1190">
        <f t="shared" si="35"/>
        <v>999.2</v>
      </c>
      <c r="AP70" s="1189">
        <v>999.0</v>
      </c>
      <c r="AQ70" s="1072"/>
      <c r="AR70" s="1066">
        <f>AJ70-AH70</f>
        <v>3.1000000000000014</v>
      </c>
      <c r="AS70" s="1084">
        <f t="shared" si="9"/>
        <v>3.15</v>
      </c>
      <c r="AT70" s="1149">
        <f t="shared" si="37"/>
        <v>939.45</v>
      </c>
      <c r="AW70" s="1162">
        <v>52.2</v>
      </c>
      <c r="AX70" s="1162">
        <v>55.3</v>
      </c>
      <c r="AY70" s="1162">
        <v>59.6</v>
      </c>
      <c r="AZ70" s="1162">
        <v>999.0</v>
      </c>
      <c r="BA70" s="1150">
        <f t="shared" si="12"/>
        <v>68.8333333333312</v>
      </c>
      <c r="BB70" s="1151"/>
      <c r="BD70" s="1152"/>
    </row>
    <row r="71" spans="8:8" ht="14.25">
      <c r="A71" s="1065">
        <f t="shared" si="38"/>
        <v>0.21666666666667678</v>
      </c>
      <c r="B71" s="1073">
        <f t="shared" si="36"/>
        <v>30.33333333333475</v>
      </c>
      <c r="D71" s="1085"/>
      <c r="E71" s="1086"/>
      <c r="F71" s="1086"/>
      <c r="G71" s="1086"/>
      <c r="H71" s="1086"/>
      <c r="I71" s="1086"/>
      <c r="J71" s="1086"/>
      <c r="K71" s="1086"/>
      <c r="L71" s="1086"/>
      <c r="M71" s="1170">
        <f t="shared" si="13"/>
        <v>49.99999999999844</v>
      </c>
      <c r="N71" s="1120">
        <f t="shared" si="14"/>
        <v>52.925</v>
      </c>
      <c r="O71" s="656">
        <f>M69*($H$18-N70)*($H$18-N71)*($H$18-N72)*($H$18-N73)/((N69-N70)*(N69-N71)*(N69-N72)*(N69-N73))+M70*($H$18-N69)*($H$18-N71)*($H$18-N72)*($H$18-N73)/((N70-N69)*(N70-N71)*(N70-N72)*(N70-N73))+M71*($H$18-N69)*($H$18-N70)*($H$18-N72)*($H$18-N73)/((N71-N69)*(N71-N70)*(N71-N72)*(N71-N73))+M72*($H$18-N69)*($H$18-N70)*($H$18-N71)*($H$18-N73)/((N72-N69)*(N72-N70)*(N72-N71)*(N72-N73))+M73*($H$18-N69)*($H$18-N70)*($H$18-N71)*($H$18-N72)/((N73-N69)*(N73-N70)*(N73-N71)*(N73-N72))</f>
        <v>4.1794774389499664E7</v>
      </c>
      <c r="P71" s="1089"/>
      <c r="Q71" s="1080"/>
      <c r="R71" s="1088"/>
      <c r="S71" s="1086"/>
      <c r="T71" s="1086"/>
      <c r="U71" s="1086"/>
      <c r="V71" s="1086"/>
      <c r="W71" s="1086"/>
      <c r="Z71" s="1086"/>
      <c r="AA71" s="1170">
        <f t="shared" si="15"/>
        <v>49.99999999999844</v>
      </c>
      <c r="AB71" s="1120">
        <f t="shared" si="21"/>
        <v>52.925</v>
      </c>
      <c r="AC71" s="656">
        <f>AA69*($V$18-AB70)*($V$18-AB71)*($V$18-AB72)*($V$18-AB73)/((AB69-AB70)*(AB69-AB71)*(AB69-AB72)*(AB69-AB73))+AA70*($V$18-AB69)*($V$18-AB71)*($V$18-AB72)*($V$18-AB73)/((AB70-AB69)*(AB70-AB71)*(AB70-AB72)*(AB70-AB73))+AA71*($V$18-AB69)*($V$18-AB70)*($V$18-AB72)*($V$18-AB73)/((AB71-AB69)*(AB71-AB70)*(AB71-AB72)*(AB71-AB73))+AA72*($V$18-AB69)*($V$18-AB70)*($V$18-AB71)*($V$18-AB73)/((AB72-AB69)*(AB72-AB70)*(AB72-AB71)*(AB72-AB73))+AA73*($V$18-AB69)*($V$18-AB70)*($V$18-AB71)*($V$18-AB72)/((AB73-AB69)*(AB73-AB70)*(AB73-AB71)*(AB73-AB72))</f>
        <v>5.170643593880081E7</v>
      </c>
      <c r="AD71" s="1089"/>
      <c r="AF71" s="1171">
        <f t="shared" si="16"/>
        <v>69.99999999999781</v>
      </c>
      <c r="AG71" s="1158">
        <f t="shared" si="17"/>
        <v>49.99999999999844</v>
      </c>
      <c r="AH71" s="1143">
        <f t="shared" si="4"/>
        <v>52.925</v>
      </c>
      <c r="AI71" s="1147">
        <f t="shared" si="18"/>
        <v>54.575</v>
      </c>
      <c r="AJ71" s="1172">
        <f t="shared" si="5"/>
        <v>56.225</v>
      </c>
      <c r="AK71" s="1147">
        <f t="shared" si="18"/>
        <v>57.900000000000006</v>
      </c>
      <c r="AL71" s="1172">
        <f t="shared" si="6"/>
        <v>59.575</v>
      </c>
      <c r="AM71" s="1147">
        <f t="shared" si="7"/>
        <v>60.55</v>
      </c>
      <c r="AN71" s="1193">
        <v>999.0</v>
      </c>
      <c r="AO71" s="1193">
        <f t="shared" si="35"/>
        <v>999.2</v>
      </c>
      <c r="AP71" s="1193">
        <v>999.0</v>
      </c>
      <c r="AQ71" s="1072"/>
      <c r="AR71" s="1066">
        <f t="shared" si="19"/>
        <v>3.3000000000000043</v>
      </c>
      <c r="AS71" s="1084">
        <f t="shared" si="9"/>
        <v>3.3499999999999996</v>
      </c>
      <c r="AT71" s="1149">
        <f t="shared" si="37"/>
        <v>938.65</v>
      </c>
      <c r="AW71" s="1172">
        <v>52.9</v>
      </c>
      <c r="AX71" s="1172">
        <v>56.2</v>
      </c>
      <c r="AY71" s="1172">
        <v>60.4</v>
      </c>
      <c r="AZ71" s="1172">
        <v>999.0</v>
      </c>
      <c r="BA71" s="1150">
        <f t="shared" si="12"/>
        <v>69.99999999999781</v>
      </c>
      <c r="BB71" s="1151"/>
      <c r="BD71" s="1152"/>
    </row>
    <row r="72" spans="8:8" ht="14.25">
      <c r="A72" s="1065">
        <f t="shared" si="38"/>
        <v>0.21944444444445477</v>
      </c>
      <c r="B72" s="1073">
        <f t="shared" si="36"/>
        <v>30.722222222223667</v>
      </c>
      <c r="D72" s="1194"/>
      <c r="M72" s="1170">
        <f t="shared" si="13"/>
        <v>50.83333333333174</v>
      </c>
      <c r="N72" s="1120">
        <f t="shared" si="14"/>
        <v>53.625</v>
      </c>
      <c r="O72" s="1164"/>
      <c r="P72" s="1089"/>
      <c r="R72" s="1132"/>
      <c r="AA72" s="1170">
        <f t="shared" si="15"/>
        <v>50.83333333333174</v>
      </c>
      <c r="AB72" s="1120">
        <f t="shared" si="21"/>
        <v>53.625</v>
      </c>
      <c r="AC72" s="1164"/>
      <c r="AD72" s="1089"/>
      <c r="AF72" s="1157">
        <f t="shared" si="16"/>
        <v>71.16666666666443</v>
      </c>
      <c r="AG72" s="1158">
        <f t="shared" si="17"/>
        <v>50.83333333333174</v>
      </c>
      <c r="AH72" s="1066">
        <f t="shared" si="4"/>
        <v>53.625</v>
      </c>
      <c r="AI72" s="1159">
        <f t="shared" si="18"/>
        <v>55.325</v>
      </c>
      <c r="AJ72" s="1132">
        <f t="shared" si="5"/>
        <v>57.025</v>
      </c>
      <c r="AK72" s="1159">
        <f t="shared" si="18"/>
        <v>58.75</v>
      </c>
      <c r="AL72" s="1160">
        <f t="shared" si="6"/>
        <v>60.475</v>
      </c>
      <c r="AM72" s="1190">
        <f t="shared" si="7"/>
        <v>999.15</v>
      </c>
      <c r="AN72" s="1189">
        <v>999.0</v>
      </c>
      <c r="AO72" s="1190">
        <f t="shared" si="35"/>
        <v>999.2</v>
      </c>
      <c r="AP72" s="1189">
        <f t="shared" si="39" ref="AP72:AP83">AN72+AT72</f>
        <v>999.0500000000001</v>
      </c>
      <c r="AQ72" s="1072"/>
      <c r="AR72" s="1066">
        <f t="shared" si="19"/>
        <v>3.3999999999999986</v>
      </c>
      <c r="AS72" s="1084">
        <f t="shared" si="9"/>
        <v>3.4499999999999997</v>
      </c>
      <c r="AT72" s="1149">
        <f t="shared" si="37"/>
        <v>0.0500000000000682</v>
      </c>
      <c r="AW72" s="1162">
        <v>53.6</v>
      </c>
      <c r="AX72" s="1162">
        <v>57.0</v>
      </c>
      <c r="AY72" s="1183">
        <v>999.0</v>
      </c>
      <c r="AZ72" s="1183">
        <v>999.0</v>
      </c>
      <c r="BA72" s="1073"/>
      <c r="BD72" s="1152"/>
    </row>
    <row r="73" spans="8:8" ht="14.25">
      <c r="A73" s="1065">
        <f t="shared" si="38"/>
        <v>0.22222222222223276</v>
      </c>
      <c r="B73" s="1073">
        <f t="shared" si="36"/>
        <v>31.111111111112585</v>
      </c>
      <c r="C73" s="1089"/>
      <c r="M73" s="1170">
        <f t="shared" si="13"/>
        <v>51.66666666666504</v>
      </c>
      <c r="N73" s="1120">
        <f t="shared" si="14"/>
        <v>54.324999999999996</v>
      </c>
      <c r="O73" s="1164"/>
      <c r="P73" s="1089"/>
      <c r="Q73" s="1089"/>
      <c r="AA73" s="1170">
        <f t="shared" si="15"/>
        <v>51.66666666666504</v>
      </c>
      <c r="AB73" s="1120">
        <f t="shared" si="21"/>
        <v>54.324999999999996</v>
      </c>
      <c r="AC73" s="1164"/>
      <c r="AD73" s="1089"/>
      <c r="AE73" s="1132"/>
      <c r="AF73" s="1157">
        <f t="shared" si="16"/>
        <v>72.33333333333104</v>
      </c>
      <c r="AG73" s="1158">
        <f t="shared" si="17"/>
        <v>51.66666666666504</v>
      </c>
      <c r="AH73" s="1066">
        <f t="shared" si="4"/>
        <v>54.324999999999996</v>
      </c>
      <c r="AI73" s="1159">
        <f t="shared" si="18"/>
        <v>56.025</v>
      </c>
      <c r="AJ73" s="1132">
        <f t="shared" si="5"/>
        <v>57.725</v>
      </c>
      <c r="AK73" s="1159">
        <f t="shared" si="18"/>
        <v>59.45</v>
      </c>
      <c r="AL73" s="1160">
        <f t="shared" si="6"/>
        <v>61.175000000000004</v>
      </c>
      <c r="AM73" s="1190">
        <f t="shared" si="7"/>
        <v>999.15</v>
      </c>
      <c r="AN73" s="1189">
        <v>999.0</v>
      </c>
      <c r="AO73" s="1190">
        <f t="shared" si="35"/>
        <v>999.2</v>
      </c>
      <c r="AP73" s="1189">
        <f t="shared" si="39"/>
        <v>999.0500000000001</v>
      </c>
      <c r="AQ73" s="1072"/>
      <c r="AR73" s="1066">
        <f t="shared" si="19"/>
        <v>3.3999999999999986</v>
      </c>
      <c r="AS73" s="1084">
        <f t="shared" si="9"/>
        <v>3.4499999999999997</v>
      </c>
      <c r="AT73" s="1149">
        <f t="shared" si="37"/>
        <v>0.0500000000000682</v>
      </c>
      <c r="AW73" s="1162">
        <v>54.3</v>
      </c>
      <c r="AX73" s="1162">
        <v>57.7</v>
      </c>
      <c r="AY73" s="1162">
        <v>999.0</v>
      </c>
      <c r="AZ73" s="1162">
        <v>999.0</v>
      </c>
      <c r="BA73" s="1073"/>
      <c r="BD73" s="1152"/>
    </row>
    <row r="74" spans="8:8" ht="14.25">
      <c r="A74" s="1065">
        <f t="shared" si="38"/>
        <v>0.22500000000001077</v>
      </c>
      <c r="B74" s="1073">
        <f t="shared" si="36"/>
        <v>31.50000000000151</v>
      </c>
      <c r="C74" s="1089"/>
      <c r="M74" s="1170">
        <f t="shared" si="13"/>
        <v>52.49999999999834</v>
      </c>
      <c r="N74" s="1120">
        <f t="shared" si="14"/>
        <v>55.025</v>
      </c>
      <c r="O74" s="1164"/>
      <c r="P74" s="1089"/>
      <c r="R74" s="1132"/>
      <c r="AA74" s="1170">
        <f t="shared" si="15"/>
        <v>52.49999999999834</v>
      </c>
      <c r="AB74" s="1120">
        <f t="shared" si="21"/>
        <v>55.025</v>
      </c>
      <c r="AC74" s="1164"/>
      <c r="AD74" s="1089"/>
      <c r="AF74" s="1157">
        <f t="shared" si="16"/>
        <v>73.49999999999767</v>
      </c>
      <c r="AG74" s="1158">
        <f t="shared" si="17"/>
        <v>52.49999999999834</v>
      </c>
      <c r="AH74" s="1066">
        <f t="shared" si="4"/>
        <v>55.025</v>
      </c>
      <c r="AI74" s="1159">
        <f t="shared" si="18"/>
        <v>56.724999999999994</v>
      </c>
      <c r="AJ74" s="1132">
        <f t="shared" si="5"/>
        <v>58.425</v>
      </c>
      <c r="AK74" s="1159">
        <f t="shared" si="18"/>
        <v>60.15</v>
      </c>
      <c r="AL74" s="1160">
        <f t="shared" si="6"/>
        <v>61.875</v>
      </c>
      <c r="AM74" s="1190">
        <f t="shared" si="7"/>
        <v>999.15</v>
      </c>
      <c r="AN74" s="1189">
        <v>999.0</v>
      </c>
      <c r="AO74" s="1190">
        <f t="shared" si="35"/>
        <v>999.2</v>
      </c>
      <c r="AP74" s="1189">
        <f t="shared" si="39"/>
        <v>999.0500000000001</v>
      </c>
      <c r="AQ74" s="1072"/>
      <c r="AR74" s="1066">
        <f t="shared" si="19"/>
        <v>3.3999999999999986</v>
      </c>
      <c r="AS74" s="1084">
        <f t="shared" si="9"/>
        <v>3.4499999999999997</v>
      </c>
      <c r="AT74" s="1149">
        <f t="shared" si="37"/>
        <v>0.0500000000000682</v>
      </c>
      <c r="AW74" s="1162">
        <v>55.0</v>
      </c>
      <c r="AX74" s="1162">
        <v>58.4</v>
      </c>
      <c r="AY74" s="1162">
        <v>999.0</v>
      </c>
      <c r="AZ74" s="1162">
        <v>999.0</v>
      </c>
      <c r="BA74" s="1073"/>
      <c r="BD74" s="1152"/>
    </row>
    <row r="75" spans="8:8" ht="14.25">
      <c r="A75" s="1065">
        <f t="shared" si="38"/>
        <v>0.22777777777778876</v>
      </c>
      <c r="B75" s="1073">
        <f t="shared" si="36"/>
        <v>31.888888888890428</v>
      </c>
      <c r="C75" s="1089"/>
      <c r="M75" s="1170">
        <f t="shared" si="13"/>
        <v>53.33333333333164</v>
      </c>
      <c r="N75" s="1120">
        <f t="shared" si="14"/>
        <v>55.925</v>
      </c>
      <c r="O75" s="656">
        <f>M73*($H$18-N74)*($H$18-N75)*($H$18-N76)*($H$18-N77)/((N73-N74)*(N73-N75)*(N73-N76)*(N73-N77))+M74*($H$18-N73)*($H$18-N75)*($H$18-N76)*($H$18-N77)/((N74-N73)*(N74-N75)*(N74-N76)*(N74-N77))+M75*($H$18-N73)*($H$18-N74)*($H$18-N76)*($H$18-N77)/((N75-N73)*(N75-N74)*(N75-N76)*(N75-N77))+M76*($H$18-N73)*($H$18-N74)*($H$18-N75)*($H$18-N77)/((N76-N73)*(N76-N74)*(N76-N75)*(N76-N77))+M77*($H$18-N73)*($H$18-N74)*($H$18-N75)*($H$18-N76)/((N77-N73)*(N77-N74)*(N77-N75)*(N77-N76))</f>
        <v>-4.579847130027008E8</v>
      </c>
      <c r="P75" s="1089"/>
      <c r="R75" s="1132"/>
      <c r="AA75" s="1170">
        <f t="shared" si="15"/>
        <v>53.33333333333164</v>
      </c>
      <c r="AB75" s="1120">
        <f t="shared" si="21"/>
        <v>55.925</v>
      </c>
      <c r="AC75" s="656">
        <f>AA73*($V$18-AB74)*($V$18-AB75)*($V$18-AB76)*($V$18-AB77)/((AB73-AB74)*(AB73-AB75)*(AB73-AB76)*(AB73-AB77))+AA74*($V$18-AB73)*($V$18-AB75)*($V$18-AB76)*($V$18-AB77)/((AB74-AB73)*(AB74-AB75)*(AB74-AB76)*(AB74-AB77))+AA75*($V$18-AB73)*($V$18-AB74)*($V$18-AB76)*($V$18-AB77)/((AB75-AB73)*(AB75-AB74)*(AB75-AB76)*(AB75-AB77))+AA76*($V$18-AB73)*($V$18-AB74)*($V$18-AB75)*($V$18-AB77)/((AB76-AB73)*(AB76-AB74)*(AB76-AB75)*(AB76-AB77))+AA77*($V$18-AB73)*($V$18-AB74)*($V$18-AB75)*($V$18-AB76)/((AB77-AB73)*(AB77-AB74)*(AB77-AB75)*(AB77-AB76))</f>
        <v>-5.680247953521996E8</v>
      </c>
      <c r="AD75" s="1089"/>
      <c r="AF75" s="1157">
        <f t="shared" si="16"/>
        <v>74.6666666666643</v>
      </c>
      <c r="AG75" s="1158">
        <f t="shared" si="17"/>
        <v>53.33333333333164</v>
      </c>
      <c r="AH75" s="1066">
        <f t="shared" si="4"/>
        <v>55.925</v>
      </c>
      <c r="AI75" s="1159">
        <f t="shared" si="18"/>
        <v>57.625</v>
      </c>
      <c r="AJ75" s="1132">
        <f t="shared" si="5"/>
        <v>59.324999999999996</v>
      </c>
      <c r="AK75" s="1159">
        <f t="shared" si="18"/>
        <v>61.050000000000004</v>
      </c>
      <c r="AL75" s="1160">
        <f t="shared" si="6"/>
        <v>62.77500000000001</v>
      </c>
      <c r="AM75" s="1190">
        <f t="shared" si="7"/>
        <v>999.15</v>
      </c>
      <c r="AN75" s="1189">
        <v>999.0</v>
      </c>
      <c r="AO75" s="1190">
        <f t="shared" si="35"/>
        <v>999.2</v>
      </c>
      <c r="AP75" s="1189">
        <f t="shared" si="39"/>
        <v>999.0500000000001</v>
      </c>
      <c r="AQ75" s="1072"/>
      <c r="AR75" s="1066">
        <f t="shared" si="19"/>
        <v>3.4000000000000057</v>
      </c>
      <c r="AS75" s="1084">
        <f t="shared" si="9"/>
        <v>3.45000000000001</v>
      </c>
      <c r="AT75" s="1149">
        <f t="shared" si="37"/>
        <v>0.0500000000000682</v>
      </c>
      <c r="AW75" s="1162">
        <v>55.9</v>
      </c>
      <c r="AX75" s="1162">
        <v>59.3</v>
      </c>
      <c r="AY75" s="1162">
        <v>999.0</v>
      </c>
      <c r="AZ75" s="1162">
        <v>999.0</v>
      </c>
      <c r="BA75" s="1073"/>
      <c r="BD75" s="1152"/>
    </row>
    <row r="76" spans="8:8" ht="14.25">
      <c r="A76" s="1065">
        <f t="shared" si="38"/>
        <v>0.23055555555556675</v>
      </c>
      <c r="B76" s="1073">
        <f t="shared" si="36"/>
        <v>32.27777777777935</v>
      </c>
      <c r="C76" s="1089"/>
      <c r="M76" s="1170">
        <f t="shared" si="13"/>
        <v>54.16666666666494</v>
      </c>
      <c r="N76" s="1120">
        <f t="shared" si="14"/>
        <v>56.425</v>
      </c>
      <c r="O76" s="1164"/>
      <c r="P76" s="1089"/>
      <c r="R76" s="1132"/>
      <c r="AA76" s="1170">
        <f t="shared" si="15"/>
        <v>54.16666666666494</v>
      </c>
      <c r="AB76" s="1120">
        <f t="shared" si="21"/>
        <v>56.425</v>
      </c>
      <c r="AC76" s="1164"/>
      <c r="AD76" s="1089"/>
      <c r="AF76" s="1157">
        <f t="shared" si="16"/>
        <v>75.83333333333091</v>
      </c>
      <c r="AG76" s="1158">
        <f t="shared" si="17"/>
        <v>54.16666666666494</v>
      </c>
      <c r="AH76" s="1066">
        <f t="shared" si="4"/>
        <v>56.425</v>
      </c>
      <c r="AI76" s="1159">
        <f t="shared" si="18"/>
        <v>58.175</v>
      </c>
      <c r="AJ76" s="1132">
        <f t="shared" si="5"/>
        <v>59.925</v>
      </c>
      <c r="AK76" s="1159">
        <f t="shared" si="18"/>
        <v>61.699999999999996</v>
      </c>
      <c r="AL76" s="1160">
        <f t="shared" si="6"/>
        <v>63.474999999999994</v>
      </c>
      <c r="AM76" s="1190">
        <f t="shared" si="7"/>
        <v>999.15</v>
      </c>
      <c r="AN76" s="1189">
        <v>999.0</v>
      </c>
      <c r="AO76" s="1190">
        <f t="shared" si="35"/>
        <v>999.2</v>
      </c>
      <c r="AP76" s="1189">
        <f t="shared" si="39"/>
        <v>999.0500000000001</v>
      </c>
      <c r="AQ76" s="1072"/>
      <c r="AR76" s="1066">
        <f t="shared" si="19"/>
        <v>3.5</v>
      </c>
      <c r="AS76" s="1084">
        <f t="shared" si="9"/>
        <v>3.55</v>
      </c>
      <c r="AT76" s="1149">
        <f t="shared" si="37"/>
        <v>0.0500000000000682</v>
      </c>
      <c r="AW76" s="1162">
        <v>56.4</v>
      </c>
      <c r="AX76" s="1162">
        <v>59.9</v>
      </c>
      <c r="AY76" s="1162">
        <v>999.0</v>
      </c>
      <c r="AZ76" s="1162">
        <v>999.0</v>
      </c>
      <c r="BA76" s="1073"/>
      <c r="BD76" s="1152"/>
    </row>
    <row r="77" spans="8:8" ht="14.25">
      <c r="A77" s="1065">
        <f t="shared" si="38"/>
        <v>0.23333333333334477</v>
      </c>
      <c r="B77" s="1073">
        <f t="shared" si="36"/>
        <v>32.66666666666827</v>
      </c>
      <c r="C77" s="1089"/>
      <c r="M77" s="1170">
        <f t="shared" si="13"/>
        <v>54.99999999999824</v>
      </c>
      <c r="N77" s="1120">
        <f t="shared" si="14"/>
        <v>57.125</v>
      </c>
      <c r="O77" s="1164"/>
      <c r="P77" s="1089"/>
      <c r="R77" s="1132"/>
      <c r="AA77" s="1170">
        <f t="shared" si="15"/>
        <v>54.99999999999824</v>
      </c>
      <c r="AB77" s="1120">
        <f t="shared" si="21"/>
        <v>57.125</v>
      </c>
      <c r="AC77" s="1164"/>
      <c r="AD77" s="1089"/>
      <c r="AF77" s="1171">
        <f t="shared" si="16"/>
        <v>76.99999999999754</v>
      </c>
      <c r="AG77" s="1158">
        <f t="shared" si="17"/>
        <v>54.99999999999824</v>
      </c>
      <c r="AH77" s="1143">
        <f t="shared" si="4"/>
        <v>57.125</v>
      </c>
      <c r="AI77" s="1147">
        <f t="shared" si="18"/>
        <v>58.925</v>
      </c>
      <c r="AJ77" s="1172">
        <f t="shared" si="5"/>
        <v>60.725</v>
      </c>
      <c r="AK77" s="1147">
        <f t="shared" si="18"/>
        <v>62.55</v>
      </c>
      <c r="AL77" s="1172">
        <f t="shared" si="6"/>
        <v>64.375</v>
      </c>
      <c r="AM77" s="1193">
        <f t="shared" si="7"/>
        <v>999.15</v>
      </c>
      <c r="AN77" s="1193">
        <v>999.0</v>
      </c>
      <c r="AO77" s="1193">
        <f t="shared" si="35"/>
        <v>999.2</v>
      </c>
      <c r="AP77" s="1193">
        <f t="shared" si="39"/>
        <v>999.0500000000001</v>
      </c>
      <c r="AQ77" s="1072"/>
      <c r="AR77" s="1066">
        <f t="shared" si="19"/>
        <v>3.6000000000000014</v>
      </c>
      <c r="AS77" s="1084">
        <f t="shared" si="9"/>
        <v>3.65</v>
      </c>
      <c r="AT77" s="1149">
        <f t="shared" si="37"/>
        <v>0.0500000000000682</v>
      </c>
      <c r="AW77" s="1172">
        <v>57.1</v>
      </c>
      <c r="AX77" s="1172">
        <v>60.7</v>
      </c>
      <c r="AY77" s="1172">
        <v>999.0</v>
      </c>
      <c r="AZ77" s="1172">
        <v>999.0</v>
      </c>
      <c r="BA77" s="1073"/>
      <c r="BD77" s="1152"/>
    </row>
    <row r="78" spans="8:8" ht="14.25">
      <c r="A78" s="1065">
        <f t="shared" si="38"/>
        <v>0.23611111111112276</v>
      </c>
      <c r="B78" s="1073">
        <f t="shared" si="36"/>
        <v>33.055555555557184</v>
      </c>
      <c r="C78" s="1089"/>
      <c r="M78" s="1170">
        <f t="shared" si="13"/>
        <v>55.83333333333154</v>
      </c>
      <c r="N78" s="1120">
        <f t="shared" si="14"/>
        <v>57.824999999999996</v>
      </c>
      <c r="O78" s="1164"/>
      <c r="P78" s="1089"/>
      <c r="R78" s="1132"/>
      <c r="AA78" s="1170">
        <f t="shared" si="15"/>
        <v>55.83333333333154</v>
      </c>
      <c r="AB78" s="1120">
        <f t="shared" si="21"/>
        <v>57.824999999999996</v>
      </c>
      <c r="AC78" s="1164"/>
      <c r="AD78" s="1089"/>
      <c r="AF78" s="1157">
        <f t="shared" si="16"/>
        <v>78.16666666666416</v>
      </c>
      <c r="AG78" s="1158">
        <f t="shared" si="17"/>
        <v>55.83333333333154</v>
      </c>
      <c r="AH78" s="1066">
        <f t="shared" si="4"/>
        <v>57.824999999999996</v>
      </c>
      <c r="AI78" s="1159">
        <f t="shared" si="18"/>
        <v>59.625</v>
      </c>
      <c r="AJ78" s="1132">
        <f t="shared" si="5"/>
        <v>61.425</v>
      </c>
      <c r="AK78" s="1159">
        <f t="shared" si="18"/>
        <v>63.24999999999999</v>
      </c>
      <c r="AL78" s="1160">
        <f t="shared" si="6"/>
        <v>65.07499999999999</v>
      </c>
      <c r="AM78" s="1190">
        <f t="shared" si="7"/>
        <v>999.15</v>
      </c>
      <c r="AN78" s="1189">
        <v>999.0</v>
      </c>
      <c r="AO78" s="1190">
        <f t="shared" si="35"/>
        <v>999.2</v>
      </c>
      <c r="AP78" s="1189">
        <f t="shared" si="39"/>
        <v>999.0500000000001</v>
      </c>
      <c r="AQ78" s="1072"/>
      <c r="AR78" s="1066">
        <f t="shared" si="19"/>
        <v>3.5999999999999943</v>
      </c>
      <c r="AS78" s="1084">
        <f t="shared" si="9"/>
        <v>3.6499999999999897</v>
      </c>
      <c r="AT78" s="1149">
        <f t="shared" si="37"/>
        <v>0.0500000000000682</v>
      </c>
      <c r="AW78" s="1162">
        <v>57.8</v>
      </c>
      <c r="AX78" s="1162">
        <v>61.4</v>
      </c>
      <c r="AY78" s="1183">
        <v>999.0</v>
      </c>
      <c r="AZ78" s="1183">
        <v>999.0</v>
      </c>
      <c r="BA78" s="1073"/>
      <c r="BD78" s="1152"/>
    </row>
    <row r="79" spans="8:8" ht="14.25">
      <c r="A79" s="1065">
        <f t="shared" si="38"/>
        <v>0.23888888888890078</v>
      </c>
      <c r="B79" s="1073">
        <f t="shared" si="36"/>
        <v>33.44444444444611</v>
      </c>
      <c r="C79" s="1089"/>
      <c r="M79" s="1170">
        <f t="shared" si="13"/>
        <v>56.66666666666484</v>
      </c>
      <c r="N79" s="1120">
        <f t="shared" si="14"/>
        <v>58.525</v>
      </c>
      <c r="O79" s="656">
        <f>M77*($H$18-N78)*($H$18-N79)*($H$18-N80)*($H$18-N81)/((N77-N78)*(N77-N79)*(N77-N80)*(N77-N81))+M78*($H$18-N77)*($H$18-N79)*($H$18-N80)*($H$18-N81)/((N78-N77)*(N78-N79)*(N78-N80)*(N78-N81))+M79*($H$18-N77)*($H$18-N78)*($H$18-N80)*($H$18-N81)/((N79-N77)*(N79-N78)*(N79-N80)*(N79-N81))+M80*($H$18-N77)*($H$18-N78)*($H$18-N79)*($H$18-N81)/((N80-N77)*(N80-N78)*(N80-N79)*(N80-N81))+M81*($H$18-N77)*($H$18-N78)*($H$18-N79)*($H$18-N80)/((N81-N77)*(N81-N78)*(N81-N79)*(N81-N80))</f>
        <v>-1.3366481398550034E8</v>
      </c>
      <c r="P79" s="1089"/>
      <c r="R79" s="1132"/>
      <c r="AA79" s="1170">
        <f t="shared" si="15"/>
        <v>56.66666666666484</v>
      </c>
      <c r="AB79" s="1120">
        <f t="shared" si="21"/>
        <v>58.525</v>
      </c>
      <c r="AC79" s="656">
        <f>AA77*($V$18-AB78)*($V$18-AB79)*($V$18-AB80)*($V$18-AB81)/((AB77-AB78)*(AB77-AB79)*(AB77-AB80)*(AB77-AB81))+AA78*($V$18-AB77)*($V$18-AB79)*($V$18-AB80)*($V$18-AB81)/((AB78-AB77)*(AB78-AB79)*(AB78-AB80)*(AB78-AB81))+AA79*($V$18-AB77)*($V$18-AB78)*($V$18-AB80)*($V$18-AB81)/((AB79-AB77)*(AB79-AB78)*(AB79-AB80)*(AB79-AB81))+AA80*($V$18-AB77)*($V$18-AB78)*($V$18-AB79)*($V$18-AB81)/((AB80-AB77)*(AB80-AB78)*(AB80-AB79)*(AB80-AB81))+AA81*($V$18-AB77)*($V$18-AB78)*($V$18-AB79)*($V$18-AB80)/((AB81-AB77)*(AB81-AB78)*(AB81-AB79)*(AB81-AB80))</f>
        <v>-1.6624317093540192E8</v>
      </c>
      <c r="AD79" s="1089"/>
      <c r="AF79" s="1157">
        <f t="shared" si="16"/>
        <v>79.33333333333077</v>
      </c>
      <c r="AG79" s="1158">
        <f t="shared" si="17"/>
        <v>56.66666666666484</v>
      </c>
      <c r="AH79" s="1066">
        <f t="shared" si="4"/>
        <v>58.525</v>
      </c>
      <c r="AI79" s="1159">
        <f t="shared" si="18"/>
        <v>60.375</v>
      </c>
      <c r="AJ79" s="1132">
        <f t="shared" si="5"/>
        <v>62.225</v>
      </c>
      <c r="AK79" s="1159">
        <f t="shared" si="18"/>
        <v>64.1</v>
      </c>
      <c r="AL79" s="1160">
        <f t="shared" si="6"/>
        <v>65.975</v>
      </c>
      <c r="AM79" s="1190">
        <f t="shared" si="7"/>
        <v>999.15</v>
      </c>
      <c r="AN79" s="1189">
        <v>999.0</v>
      </c>
      <c r="AO79" s="1190">
        <f t="shared" si="35"/>
        <v>999.2</v>
      </c>
      <c r="AP79" s="1189">
        <f t="shared" si="39"/>
        <v>999.0500000000001</v>
      </c>
      <c r="AQ79" s="1072"/>
      <c r="AR79" s="1066">
        <f t="shared" si="19"/>
        <v>3.700000000000003</v>
      </c>
      <c r="AS79" s="1084">
        <f t="shared" si="9"/>
        <v>3.75</v>
      </c>
      <c r="AT79" s="1149">
        <f t="shared" si="37"/>
        <v>0.0500000000000682</v>
      </c>
      <c r="AW79" s="1162">
        <v>58.5</v>
      </c>
      <c r="AX79" s="1162">
        <v>62.2</v>
      </c>
      <c r="AY79" s="1162">
        <v>999.0</v>
      </c>
      <c r="AZ79" s="1162">
        <v>999.0</v>
      </c>
      <c r="BA79" s="1073"/>
      <c r="BD79" s="1152"/>
    </row>
    <row r="80" spans="8:8" ht="14.25">
      <c r="A80" s="1065">
        <f t="shared" si="38"/>
        <v>0.24166666666667877</v>
      </c>
      <c r="B80" s="1073">
        <f t="shared" si="36"/>
        <v>33.83333333333503</v>
      </c>
      <c r="C80" s="1089"/>
      <c r="M80" s="1170">
        <f t="shared" si="13"/>
        <v>57.49999999999814</v>
      </c>
      <c r="N80" s="1120">
        <f t="shared" si="14"/>
        <v>59.125</v>
      </c>
      <c r="P80" s="1089"/>
      <c r="R80" s="1132"/>
      <c r="AA80" s="1170">
        <f t="shared" si="15"/>
        <v>57.49999999999814</v>
      </c>
      <c r="AB80" s="1120">
        <f t="shared" si="21"/>
        <v>59.125</v>
      </c>
      <c r="AD80" s="1089"/>
      <c r="AF80" s="1157">
        <f t="shared" si="16"/>
        <v>80.49999999999739</v>
      </c>
      <c r="AG80" s="1158">
        <f t="shared" si="17"/>
        <v>57.49999999999814</v>
      </c>
      <c r="AH80" s="1066">
        <f t="shared" si="4"/>
        <v>59.125</v>
      </c>
      <c r="AI80" s="1159">
        <f t="shared" si="18"/>
        <v>60.974999999999994</v>
      </c>
      <c r="AJ80" s="1132">
        <f t="shared" si="5"/>
        <v>62.824999999999996</v>
      </c>
      <c r="AK80" s="1159">
        <f t="shared" si="18"/>
        <v>64.7</v>
      </c>
      <c r="AL80" s="1160">
        <f t="shared" si="6"/>
        <v>66.575</v>
      </c>
      <c r="AM80" s="1190">
        <f t="shared" si="7"/>
        <v>999.15</v>
      </c>
      <c r="AN80" s="1189">
        <v>999.0</v>
      </c>
      <c r="AO80" s="1190">
        <f t="shared" si="35"/>
        <v>999.2</v>
      </c>
      <c r="AP80" s="1189">
        <f t="shared" si="39"/>
        <v>999.0500000000001</v>
      </c>
      <c r="AQ80" s="1072"/>
      <c r="AR80" s="1066">
        <f t="shared" si="19"/>
        <v>3.700000000000003</v>
      </c>
      <c r="AS80" s="1084">
        <f t="shared" si="9"/>
        <v>3.75</v>
      </c>
      <c r="AT80" s="1149">
        <f t="shared" si="37"/>
        <v>0.0500000000000682</v>
      </c>
      <c r="AW80" s="1162">
        <v>59.1</v>
      </c>
      <c r="AX80" s="1162">
        <v>62.8</v>
      </c>
      <c r="AY80" s="1162">
        <v>999.0</v>
      </c>
      <c r="AZ80" s="1162">
        <v>999.0</v>
      </c>
      <c r="BA80" s="1073"/>
      <c r="BD80" s="1152"/>
    </row>
    <row r="81" spans="8:8" ht="14.25">
      <c r="A81" s="1065">
        <f t="shared" si="38"/>
        <v>0.24444444444445676</v>
      </c>
      <c r="B81" s="1073">
        <f t="shared" si="36"/>
        <v>34.22222222222395</v>
      </c>
      <c r="C81" s="1089"/>
      <c r="M81" s="1170">
        <f t="shared" si="13"/>
        <v>58.33333333333144</v>
      </c>
      <c r="N81" s="1120">
        <f t="shared" si="14"/>
        <v>59.824999999999996</v>
      </c>
      <c r="O81" s="656">
        <f>M79*($H$18-N80)*($H$18-N81)*($H$18-N82)*($H$18-N83)/((N79-N80)*(N79-N81)*(N79-N82)*(N79-N83))+M80*($H$18-N79)*($H$18-N81)*($H$18-N82)*($H$18-N83)/((N80-N79)*(N80-N81)*(N80-N82)*(N80-N83))+M81*($H$18-N79)*($H$18-N80)*($H$18-N82)*($H$18-N83)/((N81-N79)*(N81-N80)*(N81-N82)*(N81-N83))+M82*($H$18-N79)*($H$18-N80)*($H$18-N81)*($H$18-N83)/((N82-N79)*(N82-N80)*(N82-N81)*(N82-N83))+M83*($H$18-N79)*($H$18-N80)*($H$18-N81)*($H$18-N82)/((N83-N79)*(N83-N80)*(N83-N81)*(N83-N82))</f>
        <v>590960.34349823</v>
      </c>
      <c r="P81" s="1089"/>
      <c r="R81" s="1132"/>
      <c r="AA81" s="1170">
        <f t="shared" si="15"/>
        <v>58.33333333333144</v>
      </c>
      <c r="AB81" s="1120">
        <f t="shared" si="21"/>
        <v>59.824999999999996</v>
      </c>
      <c r="AC81" s="656">
        <f>AA79*($V$18-AB80)*($V$18-AB81)*($V$18-AB82)*($V$18-AB83)/((AB79-AB80)*(AB79-AB81)*(AB79-AB82)*(AB79-AB83))+AA80*($V$18-AB79)*($V$18-AB81)*($V$18-AB82)*($V$18-AB83)/((AB80-AB79)*(AB80-AB81)*(AB80-AB82)*(AB80-AB83))+AA81*($V$18-AB79)*($V$18-AB80)*($V$18-AB82)*($V$18-AB83)/((AB81-AB79)*(AB81-AB80)*(AB81-AB82)*(AB81-AB83))+AA82*($V$18-AB79)*($V$18-AB80)*($V$18-AB81)*($V$18-AB83)/((AB82-AB79)*(AB82-AB80)*(AB82-AB81)*(AB82-AB83))+AA83*($V$18-AB79)*($V$18-AB80)*($V$18-AB81)*($V$18-AB82)/((AB83-AB79)*(AB83-AB80)*(AB83-AB81)*(AB83-AB82))</f>
        <v>696761.3850975037</v>
      </c>
      <c r="AD81" s="1089"/>
      <c r="AF81" s="1157">
        <f t="shared" si="16"/>
        <v>81.66666666666401</v>
      </c>
      <c r="AG81" s="1158">
        <f t="shared" si="17"/>
        <v>58.33333333333144</v>
      </c>
      <c r="AH81" s="1066">
        <f t="shared" si="40" ref="AH81:AH83">AW81+$AW$15</f>
        <v>59.824999999999996</v>
      </c>
      <c r="AI81" s="1159">
        <f t="shared" si="18"/>
        <v>61.724999999999994</v>
      </c>
      <c r="AJ81" s="1132">
        <f t="shared" si="41" ref="AJ81:AJ83">AX81+$AX$15</f>
        <v>63.625</v>
      </c>
      <c r="AK81" s="1159">
        <f t="shared" si="18"/>
        <v>65.55</v>
      </c>
      <c r="AL81" s="1160">
        <f>AJ81+AS81</f>
        <v>67.475</v>
      </c>
      <c r="AM81" s="1190">
        <f t="shared" si="42" ref="AM81:AM83">AY81+AY$15</f>
        <v>999.15</v>
      </c>
      <c r="AN81" s="1189">
        <v>999.0</v>
      </c>
      <c r="AO81" s="1190">
        <f t="shared" si="35"/>
        <v>999.2</v>
      </c>
      <c r="AP81" s="1189">
        <f t="shared" si="39"/>
        <v>999.0500000000001</v>
      </c>
      <c r="AQ81" s="1072"/>
      <c r="AR81" s="1066">
        <f t="shared" si="19"/>
        <v>3.799999999999997</v>
      </c>
      <c r="AS81" s="1084">
        <f>AR81+$AS$15</f>
        <v>3.8499999999999996</v>
      </c>
      <c r="AT81" s="1149">
        <f t="shared" si="37"/>
        <v>0.0500000000000682</v>
      </c>
      <c r="AW81" s="1162">
        <v>59.8</v>
      </c>
      <c r="AX81" s="1162">
        <v>63.6</v>
      </c>
      <c r="AY81" s="1162">
        <v>999.0</v>
      </c>
      <c r="AZ81" s="1162">
        <v>999.0</v>
      </c>
      <c r="BA81" s="1073"/>
      <c r="BD81" s="1152"/>
    </row>
    <row r="82" spans="8:8" ht="14.25">
      <c r="A82" s="1065">
        <f t="shared" si="38"/>
        <v>0.24722222222223478</v>
      </c>
      <c r="B82" s="1073">
        <f t="shared" si="36"/>
        <v>34.61111111111287</v>
      </c>
      <c r="C82" s="1089"/>
      <c r="M82" s="1170">
        <f t="shared" si="13"/>
        <v>59.16666666666474</v>
      </c>
      <c r="N82" s="1120">
        <f t="shared" si="14"/>
        <v>60.525</v>
      </c>
      <c r="P82" s="1089"/>
      <c r="R82" s="1132"/>
      <c r="AA82" s="1170">
        <f t="shared" si="15"/>
        <v>59.16666666666474</v>
      </c>
      <c r="AB82" s="1120">
        <f t="shared" si="21"/>
        <v>60.525</v>
      </c>
      <c r="AD82" s="1089"/>
      <c r="AF82" s="1157">
        <f t="shared" si="16"/>
        <v>82.83333333333063</v>
      </c>
      <c r="AG82" s="1158">
        <f t="shared" si="17"/>
        <v>59.16666666666474</v>
      </c>
      <c r="AH82" s="1066">
        <f t="shared" si="40"/>
        <v>60.525</v>
      </c>
      <c r="AI82" s="1159">
        <f t="shared" si="18"/>
        <v>62.425</v>
      </c>
      <c r="AJ82" s="1132">
        <f t="shared" si="41"/>
        <v>64.325</v>
      </c>
      <c r="AK82" s="1159">
        <f t="shared" si="18"/>
        <v>66.25</v>
      </c>
      <c r="AL82" s="1160">
        <f>AJ82+AS82</f>
        <v>68.175</v>
      </c>
      <c r="AM82" s="1190">
        <f t="shared" si="42"/>
        <v>999.15</v>
      </c>
      <c r="AN82" s="1189">
        <v>999.0</v>
      </c>
      <c r="AO82" s="1190">
        <f t="shared" si="35"/>
        <v>999.2</v>
      </c>
      <c r="AP82" s="1189">
        <f t="shared" si="39"/>
        <v>999.0500000000001</v>
      </c>
      <c r="AQ82" s="1072"/>
      <c r="AR82" s="1066">
        <f t="shared" si="19"/>
        <v>3.8000000000000043</v>
      </c>
      <c r="AS82" s="1084">
        <f>AR82+$AS$15</f>
        <v>3.8499999999999996</v>
      </c>
      <c r="AT82" s="1149">
        <f t="shared" si="37"/>
        <v>0.0500000000000682</v>
      </c>
      <c r="AW82" s="1162">
        <v>60.5</v>
      </c>
      <c r="AX82" s="1162">
        <v>64.3</v>
      </c>
      <c r="AY82" s="1162">
        <v>999.0</v>
      </c>
      <c r="AZ82" s="1162">
        <v>999.0</v>
      </c>
      <c r="BA82" s="1073"/>
      <c r="BD82" s="1152"/>
    </row>
    <row r="83" spans="8:8" ht="15.0">
      <c r="A83" s="1065">
        <f t="shared" si="38"/>
        <v>0.25000000000001277</v>
      </c>
      <c r="B83" s="1073">
        <f t="shared" si="36"/>
        <v>35.00000000000179</v>
      </c>
      <c r="C83" s="1089"/>
      <c r="D83" s="1195"/>
      <c r="E83" s="1196"/>
      <c r="F83" s="1196"/>
      <c r="G83" s="1196"/>
      <c r="H83" s="1196"/>
      <c r="I83" s="1196"/>
      <c r="J83" s="1196"/>
      <c r="K83" s="1196"/>
      <c r="L83" s="1196"/>
      <c r="M83" s="1192">
        <f>M82+3*100/360</f>
        <v>59.99999999999804</v>
      </c>
      <c r="N83" s="1168">
        <f>LOOKUP($B$1,$AH$16:$AP$16,AH83:AP83)</f>
        <v>61.125</v>
      </c>
      <c r="O83" s="1196"/>
      <c r="P83" s="1197"/>
      <c r="R83" s="1195"/>
      <c r="S83" s="1196"/>
      <c r="T83" s="1196"/>
      <c r="U83" s="1196"/>
      <c r="V83" s="1196"/>
      <c r="W83" s="1196"/>
      <c r="X83" s="1196"/>
      <c r="Y83" s="1196"/>
      <c r="Z83" s="1196"/>
      <c r="AA83" s="1192">
        <f>AA82+3*100/360</f>
        <v>59.99999999999804</v>
      </c>
      <c r="AB83" s="1168">
        <f t="shared" si="21"/>
        <v>61.125</v>
      </c>
      <c r="AC83" s="1196"/>
      <c r="AD83" s="1197"/>
      <c r="AF83" s="1198">
        <f>AF$16*AG83/100</f>
        <v>83.99999999999726</v>
      </c>
      <c r="AG83" s="1199">
        <f>AG82+3*100/360</f>
        <v>59.99999999999804</v>
      </c>
      <c r="AH83" s="1200">
        <f t="shared" si="40"/>
        <v>61.125</v>
      </c>
      <c r="AI83" s="1201">
        <f>MEDIAN(AH83,AJ83)</f>
        <v>63.075</v>
      </c>
      <c r="AJ83" s="1202">
        <f t="shared" si="41"/>
        <v>65.025</v>
      </c>
      <c r="AK83" s="1201">
        <f>MEDIAN(AJ83,AL83)</f>
        <v>67.00000000000001</v>
      </c>
      <c r="AL83" s="1202">
        <f>AJ83+AS83</f>
        <v>68.97500000000002</v>
      </c>
      <c r="AM83" s="1203">
        <f t="shared" si="42"/>
        <v>999.15</v>
      </c>
      <c r="AN83" s="1204">
        <v>999.0</v>
      </c>
      <c r="AO83" s="1193">
        <f t="shared" si="35"/>
        <v>999.2</v>
      </c>
      <c r="AP83" s="1203">
        <f t="shared" si="39"/>
        <v>999.0500000000001</v>
      </c>
      <c r="AQ83" s="1072"/>
      <c r="AR83" s="1066">
        <f>AJ83-AH83</f>
        <v>3.9000000000000057</v>
      </c>
      <c r="AS83" s="1084">
        <f>AR83+$AS$15</f>
        <v>3.95000000000001</v>
      </c>
      <c r="AT83" s="1149">
        <f t="shared" si="37"/>
        <v>0.0500000000000682</v>
      </c>
      <c r="AW83" s="1202">
        <v>61.1</v>
      </c>
      <c r="AX83" s="1202">
        <v>65.0</v>
      </c>
      <c r="AY83" s="1202">
        <v>999.0</v>
      </c>
      <c r="AZ83" s="1202">
        <v>999.0</v>
      </c>
      <c r="BA83" s="1073"/>
      <c r="BD83" s="1152"/>
    </row>
    <row r="84" spans="8:8">
      <c r="A84" s="1065">
        <f t="shared" si="38"/>
        <v>0.25277777777779076</v>
      </c>
      <c r="B84" s="1073">
        <f t="shared" si="36"/>
        <v>35.388888888890705</v>
      </c>
      <c r="AN84" s="1072"/>
      <c r="AO84" s="1205"/>
      <c r="AP84" s="1072"/>
      <c r="AQ84" s="1072"/>
      <c r="AR84" s="1072"/>
      <c r="AS84" s="1072"/>
      <c r="AT84" s="1072"/>
      <c r="AU84" s="1072"/>
      <c r="AV84" s="1072"/>
    </row>
    <row r="85" spans="8:8">
      <c r="A85" s="1065">
        <f t="shared" si="38"/>
        <v>0.25555555555556875</v>
      </c>
      <c r="B85" s="1073">
        <f t="shared" si="36"/>
        <v>35.777777777779626</v>
      </c>
      <c r="AN85" s="1072"/>
      <c r="AO85" s="1072"/>
      <c r="AP85" s="1072"/>
      <c r="AQ85" s="1072"/>
      <c r="AR85" s="1072"/>
      <c r="AS85" s="1072"/>
      <c r="AT85" s="1072"/>
      <c r="AU85" s="1072"/>
      <c r="AV85" s="1072"/>
    </row>
    <row r="86" spans="8:8">
      <c r="A86" s="1065">
        <f t="shared" si="38"/>
        <v>0.2583333333333468</v>
      </c>
      <c r="B86" s="1073">
        <f t="shared" si="36"/>
        <v>36.166666666668554</v>
      </c>
      <c r="AN86" s="1072"/>
      <c r="AO86" s="1072"/>
      <c r="AP86" s="1072"/>
      <c r="AQ86" s="1072"/>
      <c r="AR86" s="1072"/>
      <c r="AS86" s="1072"/>
      <c r="AT86" s="1072"/>
      <c r="AU86" s="1072"/>
      <c r="AV86" s="1072"/>
    </row>
    <row r="87" spans="8:8">
      <c r="A87" s="1065">
        <f t="shared" si="38"/>
        <v>0.2611111111111248</v>
      </c>
      <c r="B87" s="1073">
        <f t="shared" si="36"/>
        <v>36.55555555555747</v>
      </c>
      <c r="AN87" s="1072"/>
      <c r="AO87" s="1072"/>
      <c r="AP87" s="1072"/>
      <c r="AQ87" s="1072"/>
      <c r="AR87" s="1072"/>
      <c r="AS87" s="1072"/>
      <c r="AT87" s="1072"/>
      <c r="AU87" s="1072"/>
      <c r="AV87" s="1072"/>
    </row>
    <row r="88" spans="8:8">
      <c r="A88" s="1065">
        <f t="shared" si="38"/>
        <v>0.2638888888889028</v>
      </c>
      <c r="B88" s="1073">
        <f t="shared" si="36"/>
        <v>36.94444444444639</v>
      </c>
      <c r="AN88" s="1072"/>
      <c r="AO88" s="1072"/>
      <c r="AP88" s="1072"/>
      <c r="AQ88" s="1072"/>
      <c r="AR88" s="1072"/>
      <c r="AS88" s="1072"/>
      <c r="AT88" s="1072"/>
      <c r="AU88" s="1072"/>
      <c r="AV88" s="1072"/>
    </row>
    <row r="89" spans="8:8">
      <c r="A89" s="1065">
        <f t="shared" si="38"/>
        <v>0.26666666666668076</v>
      </c>
      <c r="B89" s="1073">
        <f t="shared" si="36"/>
        <v>37.333333333335304</v>
      </c>
      <c r="AN89" s="1072"/>
      <c r="AO89" s="1072"/>
      <c r="AP89" s="1072"/>
      <c r="AQ89" s="1072"/>
      <c r="AR89" s="1072"/>
      <c r="AS89" s="1072"/>
      <c r="AT89" s="1072"/>
      <c r="AU89" s="1072"/>
      <c r="AV89" s="1072"/>
    </row>
    <row r="90" spans="8:8">
      <c r="A90" s="1065">
        <f t="shared" si="38"/>
        <v>0.26944444444445875</v>
      </c>
      <c r="B90" s="1073">
        <f t="shared" si="36"/>
        <v>37.722222222224225</v>
      </c>
      <c r="AN90" s="1072"/>
      <c r="AO90" s="1072"/>
      <c r="AP90" s="1072"/>
      <c r="AQ90" s="1072"/>
      <c r="AR90" s="1072"/>
      <c r="AS90" s="1072"/>
      <c r="AT90" s="1072"/>
      <c r="AU90" s="1072"/>
      <c r="AV90" s="1072"/>
    </row>
    <row r="91" spans="8:8">
      <c r="A91" s="1065">
        <f t="shared" si="38"/>
        <v>0.27222222222223674</v>
      </c>
      <c r="B91" s="1073">
        <f t="shared" si="36"/>
        <v>38.111111111113146</v>
      </c>
      <c r="AN91" s="1072"/>
      <c r="AO91" s="1072"/>
      <c r="AP91" s="1072"/>
      <c r="AQ91" s="1072"/>
      <c r="AR91" s="1072"/>
      <c r="AS91" s="1072"/>
      <c r="AT91" s="1072"/>
      <c r="AU91" s="1072"/>
      <c r="AV91" s="1072"/>
    </row>
    <row r="92" spans="8:8">
      <c r="A92" s="1065">
        <f t="shared" si="38"/>
        <v>0.2750000000000148</v>
      </c>
      <c r="B92" s="1073">
        <f t="shared" si="36"/>
        <v>38.50000000000207</v>
      </c>
      <c r="AN92" s="1072"/>
      <c r="AO92" s="1072"/>
      <c r="AP92" s="1072"/>
      <c r="AQ92" s="1072"/>
      <c r="AR92" s="1072"/>
      <c r="AS92" s="1072"/>
      <c r="AT92" s="1072"/>
      <c r="AU92" s="1072"/>
      <c r="AV92" s="1072"/>
    </row>
    <row r="93" spans="8:8">
      <c r="A93" s="1065">
        <f t="shared" si="38"/>
        <v>0.2777777777777928</v>
      </c>
      <c r="B93" s="1073">
        <f t="shared" si="36"/>
        <v>38.88888888889099</v>
      </c>
      <c r="AN93" s="1072"/>
      <c r="AO93" s="1072"/>
      <c r="AP93" s="1072"/>
      <c r="AQ93" s="1072"/>
      <c r="AR93" s="1072"/>
      <c r="AS93" s="1072"/>
      <c r="AT93" s="1072"/>
      <c r="AU93" s="1072"/>
      <c r="AV93" s="1072"/>
    </row>
    <row r="94" spans="8:8">
      <c r="A94" s="1065">
        <f t="shared" si="38"/>
        <v>0.28055555555557077</v>
      </c>
      <c r="B94" s="1073">
        <f t="shared" si="36"/>
        <v>39.27777777777991</v>
      </c>
      <c r="AN94" s="1072"/>
      <c r="AO94" s="1072"/>
      <c r="AP94" s="1072"/>
      <c r="AQ94" s="1072"/>
      <c r="AR94" s="1072"/>
      <c r="AS94" s="1072"/>
      <c r="AT94" s="1072"/>
      <c r="AU94" s="1072"/>
      <c r="AV94" s="1072"/>
    </row>
    <row r="95" spans="8:8">
      <c r="A95" s="1065">
        <f t="shared" si="38"/>
        <v>0.28333333333334876</v>
      </c>
      <c r="B95" s="1073">
        <f t="shared" si="36"/>
        <v>39.666666666668824</v>
      </c>
      <c r="AN95" s="1072"/>
      <c r="AO95" s="1072"/>
      <c r="AP95" s="1072"/>
      <c r="AQ95" s="1072"/>
      <c r="AR95" s="1072"/>
      <c r="AS95" s="1072"/>
      <c r="AT95" s="1072"/>
      <c r="AU95" s="1072"/>
      <c r="AV95" s="1072"/>
    </row>
    <row r="96" spans="8:8">
      <c r="A96" s="1065">
        <f t="shared" si="38"/>
        <v>0.28611111111112675</v>
      </c>
      <c r="B96" s="1073">
        <f t="shared" si="36"/>
        <v>40.055555555557746</v>
      </c>
      <c r="AN96" s="1072"/>
      <c r="AO96" s="1072"/>
      <c r="AP96" s="1072"/>
      <c r="AQ96" s="1072"/>
      <c r="AR96" s="1072"/>
      <c r="AS96" s="1072"/>
      <c r="AT96" s="1072"/>
      <c r="AU96" s="1072"/>
      <c r="AV96" s="1072"/>
    </row>
    <row r="97" spans="8:8">
      <c r="A97" s="1065">
        <f t="shared" si="38"/>
        <v>0.2888888888889048</v>
      </c>
      <c r="B97" s="1073">
        <f t="shared" si="36"/>
        <v>40.444444444446674</v>
      </c>
      <c r="AN97" s="1072"/>
      <c r="AO97" s="1072"/>
      <c r="AP97" s="1072"/>
      <c r="AQ97" s="1072"/>
      <c r="AR97" s="1072"/>
      <c r="AS97" s="1072"/>
      <c r="AT97" s="1072"/>
      <c r="AU97" s="1072"/>
      <c r="AV97" s="1072"/>
    </row>
    <row r="98" spans="8:8">
      <c r="A98" s="1065">
        <f t="shared" si="38"/>
        <v>0.2916666666666828</v>
      </c>
      <c r="B98" s="1073">
        <f t="shared" si="36"/>
        <v>40.83333333333559</v>
      </c>
      <c r="AN98" s="1072"/>
      <c r="AO98" s="1072"/>
      <c r="AP98" s="1072"/>
      <c r="AQ98" s="1072"/>
      <c r="AR98" s="1072"/>
      <c r="AS98" s="1072"/>
      <c r="AT98" s="1072"/>
      <c r="AU98" s="1072"/>
      <c r="AV98" s="1072"/>
    </row>
    <row r="99" spans="8:8">
      <c r="A99" s="1065">
        <f t="shared" si="38"/>
        <v>0.2944444444444608</v>
      </c>
      <c r="B99" s="1073">
        <f t="shared" si="36"/>
        <v>41.22222222222451</v>
      </c>
      <c r="AN99" s="1072"/>
      <c r="AO99" s="1072"/>
      <c r="AP99" s="1072"/>
      <c r="AQ99" s="1072"/>
      <c r="AR99" s="1072"/>
      <c r="AS99" s="1072"/>
      <c r="AT99" s="1072"/>
      <c r="AU99" s="1072"/>
      <c r="AV99" s="1072"/>
    </row>
    <row r="100" spans="8:8">
      <c r="A100" s="1065">
        <f t="shared" si="38"/>
        <v>0.29722222222223876</v>
      </c>
      <c r="B100" s="1073">
        <f t="shared" si="36"/>
        <v>41.61111111111342</v>
      </c>
      <c r="AN100" s="1072"/>
      <c r="AO100" s="1072"/>
      <c r="AP100" s="1072"/>
      <c r="AQ100" s="1072"/>
      <c r="AR100" s="1072"/>
      <c r="AS100" s="1072"/>
      <c r="AT100" s="1072"/>
      <c r="AU100" s="1072"/>
      <c r="AV100" s="1072"/>
    </row>
    <row r="101" spans="8:8">
      <c r="A101" s="1065">
        <f t="shared" si="38"/>
        <v>0.30000000000001675</v>
      </c>
      <c r="B101" s="1073">
        <f t="shared" si="36"/>
        <v>42.000000000002345</v>
      </c>
      <c r="AN101" s="1072"/>
      <c r="AO101" s="1072"/>
      <c r="AP101" s="1072"/>
      <c r="AQ101" s="1072"/>
      <c r="AR101" s="1072"/>
      <c r="AS101" s="1072"/>
      <c r="AT101" s="1072"/>
      <c r="AU101" s="1072"/>
      <c r="AV101" s="1072"/>
    </row>
    <row r="102" spans="8:8">
      <c r="A102" s="1065">
        <f t="shared" si="38"/>
        <v>0.30277777777779474</v>
      </c>
      <c r="B102" s="1073">
        <f t="shared" si="36"/>
        <v>42.388888888891266</v>
      </c>
      <c r="AN102" s="1072"/>
      <c r="AO102" s="1072"/>
      <c r="AP102" s="1072"/>
      <c r="AQ102" s="1072"/>
      <c r="AR102" s="1072"/>
      <c r="AS102" s="1072"/>
      <c r="AT102" s="1072"/>
      <c r="AU102" s="1072"/>
      <c r="AV102" s="1072"/>
    </row>
    <row r="103" spans="8:8">
      <c r="A103" s="1065">
        <f t="shared" si="38"/>
        <v>0.3055555555555728</v>
      </c>
      <c r="B103" s="1073">
        <f t="shared" si="36"/>
        <v>42.77777777778019</v>
      </c>
      <c r="AN103" s="1072"/>
      <c r="AO103" s="1072"/>
      <c r="AP103" s="1072"/>
      <c r="AQ103" s="1072"/>
      <c r="AR103" s="1072"/>
      <c r="AS103" s="1072"/>
      <c r="AT103" s="1072"/>
      <c r="AU103" s="1072"/>
      <c r="AV103" s="1072"/>
    </row>
    <row r="104" spans="8:8">
      <c r="A104" s="1065">
        <f t="shared" si="38"/>
        <v>0.3083333333333508</v>
      </c>
      <c r="B104" s="1073">
        <f t="shared" si="36"/>
        <v>43.16666666666911</v>
      </c>
      <c r="AN104" s="1072"/>
      <c r="AO104" s="1072"/>
      <c r="AP104" s="1072"/>
      <c r="AQ104" s="1072"/>
      <c r="AR104" s="1072"/>
      <c r="AS104" s="1072"/>
      <c r="AT104" s="1072"/>
      <c r="AU104" s="1072"/>
      <c r="AV104" s="1072"/>
    </row>
    <row r="105" spans="8:8">
      <c r="A105" s="1065">
        <f t="shared" si="38"/>
        <v>0.31111111111112877</v>
      </c>
      <c r="B105" s="1073">
        <f t="shared" si="36"/>
        <v>43.55555555555803</v>
      </c>
      <c r="AN105" s="1072"/>
      <c r="AO105" s="1072"/>
      <c r="AP105" s="1072"/>
      <c r="AQ105" s="1072"/>
      <c r="AR105" s="1072"/>
      <c r="AS105" s="1072"/>
      <c r="AT105" s="1072"/>
      <c r="AU105" s="1072"/>
      <c r="AV105" s="1072"/>
    </row>
    <row r="106" spans="8:8">
      <c r="A106" s="1065">
        <f t="shared" si="38"/>
        <v>0.31388888888890676</v>
      </c>
      <c r="B106" s="1073">
        <f t="shared" si="36"/>
        <v>43.944444444446944</v>
      </c>
      <c r="AN106" s="1072"/>
      <c r="AO106" s="1072"/>
      <c r="AP106" s="1072"/>
      <c r="AQ106" s="1072"/>
      <c r="AR106" s="1072"/>
      <c r="AS106" s="1072"/>
      <c r="AT106" s="1072"/>
      <c r="AU106" s="1072"/>
      <c r="AV106" s="1072"/>
    </row>
    <row r="107" spans="8:8">
      <c r="A107" s="1065">
        <f t="shared" si="38"/>
        <v>0.31666666666668475</v>
      </c>
      <c r="B107" s="1073">
        <f t="shared" si="36"/>
        <v>44.333333333335865</v>
      </c>
      <c r="AN107" s="1072"/>
      <c r="AO107" s="1072"/>
      <c r="AP107" s="1072"/>
      <c r="AQ107" s="1072"/>
      <c r="AR107" s="1072"/>
      <c r="AS107" s="1072"/>
      <c r="AT107" s="1072"/>
      <c r="AU107" s="1072"/>
      <c r="AV107" s="1072"/>
    </row>
    <row r="108" spans="8:8">
      <c r="A108" s="1065">
        <f t="shared" si="38"/>
        <v>0.3194444444444628</v>
      </c>
      <c r="B108" s="1073">
        <f t="shared" si="36"/>
        <v>44.722222222224794</v>
      </c>
      <c r="AN108" s="1072"/>
      <c r="AO108" s="1072"/>
      <c r="AP108" s="1072"/>
      <c r="AQ108" s="1072"/>
      <c r="AR108" s="1072"/>
      <c r="AS108" s="1072"/>
      <c r="AT108" s="1072"/>
      <c r="AU108" s="1072"/>
      <c r="AV108" s="1072"/>
    </row>
    <row r="109" spans="8:8">
      <c r="A109" s="1065">
        <f t="shared" si="38"/>
        <v>0.3222222222222408</v>
      </c>
      <c r="B109" s="1073">
        <f t="shared" si="36"/>
        <v>45.11111111111371</v>
      </c>
      <c r="AN109" s="1072"/>
      <c r="AO109" s="1072"/>
      <c r="AP109" s="1072"/>
      <c r="AQ109" s="1072"/>
      <c r="AR109" s="1072"/>
      <c r="AS109" s="1072"/>
      <c r="AT109" s="1072"/>
      <c r="AU109" s="1072"/>
      <c r="AV109" s="1072"/>
    </row>
    <row r="110" spans="8:8">
      <c r="A110" s="1065">
        <f t="shared" si="38"/>
        <v>0.3250000000000188</v>
      </c>
      <c r="B110" s="1073">
        <f t="shared" si="36"/>
        <v>45.50000000000263</v>
      </c>
      <c r="AN110" s="1072"/>
      <c r="AO110" s="1072"/>
      <c r="AP110" s="1072"/>
      <c r="AQ110" s="1072"/>
      <c r="AR110" s="1072"/>
      <c r="AS110" s="1072"/>
      <c r="AT110" s="1072"/>
      <c r="AU110" s="1072"/>
      <c r="AV110" s="1072"/>
    </row>
    <row r="111" spans="8:8">
      <c r="A111" s="1065">
        <f t="shared" si="38"/>
        <v>0.32777777777779676</v>
      </c>
      <c r="B111" s="1073">
        <f t="shared" si="36"/>
        <v>45.88888888889155</v>
      </c>
      <c r="AN111" s="1072"/>
      <c r="AO111" s="1072"/>
      <c r="AP111" s="1072"/>
      <c r="AQ111" s="1072"/>
      <c r="AR111" s="1072"/>
      <c r="AS111" s="1072"/>
      <c r="AT111" s="1072"/>
      <c r="AU111" s="1072"/>
      <c r="AV111" s="1072"/>
    </row>
    <row r="112" spans="8:8">
      <c r="A112" s="1065">
        <f t="shared" si="38"/>
        <v>0.33055555555557475</v>
      </c>
      <c r="B112" s="1073">
        <f t="shared" si="36"/>
        <v>46.277777777780464</v>
      </c>
      <c r="AN112" s="1072"/>
      <c r="AO112" s="1072"/>
      <c r="AP112" s="1072"/>
      <c r="AQ112" s="1072"/>
      <c r="AR112" s="1072"/>
      <c r="AS112" s="1072"/>
      <c r="AT112" s="1072"/>
      <c r="AU112" s="1072"/>
      <c r="AV112" s="1072"/>
    </row>
    <row r="113" spans="8:8">
      <c r="A113" s="1065">
        <f t="shared" si="38"/>
        <v>0.33333333333335274</v>
      </c>
      <c r="B113" s="1073">
        <f t="shared" si="36"/>
        <v>46.666666666669386</v>
      </c>
      <c r="AN113" s="1072"/>
      <c r="AO113" s="1072"/>
      <c r="AP113" s="1072"/>
      <c r="AQ113" s="1072"/>
      <c r="AR113" s="1072"/>
      <c r="AS113" s="1072"/>
      <c r="AT113" s="1072"/>
      <c r="AU113" s="1072"/>
      <c r="AV113" s="1072"/>
    </row>
    <row r="114" spans="8:8">
      <c r="A114" s="1065">
        <f t="shared" si="38"/>
        <v>0.3361111111111308</v>
      </c>
      <c r="B114" s="1073">
        <f t="shared" si="36"/>
        <v>47.055555555558314</v>
      </c>
      <c r="AN114" s="1072"/>
      <c r="AO114" s="1072"/>
      <c r="AP114" s="1072"/>
      <c r="AQ114" s="1072"/>
      <c r="AR114" s="1072"/>
      <c r="AS114" s="1072"/>
      <c r="AT114" s="1072"/>
      <c r="AU114" s="1072"/>
      <c r="AV114" s="1072"/>
    </row>
    <row r="115" spans="8:8">
      <c r="A115" s="1065">
        <f t="shared" si="38"/>
        <v>0.3388888888889088</v>
      </c>
      <c r="B115" s="1073">
        <f t="shared" si="36"/>
        <v>47.44444444444723</v>
      </c>
      <c r="AN115" s="1072"/>
      <c r="AO115" s="1072"/>
      <c r="AP115" s="1072"/>
      <c r="AQ115" s="1072"/>
      <c r="AR115" s="1072"/>
      <c r="AS115" s="1072"/>
      <c r="AT115" s="1072"/>
      <c r="AU115" s="1072"/>
      <c r="AV115" s="1072"/>
    </row>
    <row r="116" spans="8:8">
      <c r="A116" s="1065">
        <f t="shared" si="38"/>
        <v>0.34166666666668677</v>
      </c>
      <c r="B116" s="1073">
        <f t="shared" si="36"/>
        <v>47.83333333333615</v>
      </c>
      <c r="AN116" s="1072"/>
      <c r="AO116" s="1072"/>
      <c r="AP116" s="1072"/>
      <c r="AQ116" s="1072"/>
      <c r="AR116" s="1072"/>
      <c r="AS116" s="1072"/>
      <c r="AT116" s="1072"/>
      <c r="AU116" s="1072"/>
      <c r="AV116" s="1072"/>
    </row>
    <row r="117" spans="8:8">
      <c r="A117" s="1065">
        <f t="shared" si="38"/>
        <v>0.34444444444446476</v>
      </c>
      <c r="B117" s="1073">
        <f t="shared" si="36"/>
        <v>48.222222222225064</v>
      </c>
      <c r="AN117" s="1072"/>
      <c r="AO117" s="1072"/>
      <c r="AP117" s="1072"/>
      <c r="AQ117" s="1072"/>
      <c r="AR117" s="1072"/>
      <c r="AS117" s="1072"/>
      <c r="AT117" s="1072"/>
      <c r="AU117" s="1072"/>
      <c r="AV117" s="1072"/>
    </row>
    <row r="118" spans="8:8">
      <c r="A118" s="1065">
        <f t="shared" si="38"/>
        <v>0.34722222222224275</v>
      </c>
      <c r="B118" s="1073">
        <f t="shared" si="36"/>
        <v>48.611111111113985</v>
      </c>
      <c r="AN118" s="1072"/>
      <c r="AO118" s="1072"/>
      <c r="AP118" s="1072"/>
      <c r="AQ118" s="1072"/>
      <c r="AR118" s="1072"/>
      <c r="AS118" s="1072"/>
      <c r="AT118" s="1072"/>
      <c r="AU118" s="1072"/>
      <c r="AV118" s="1072"/>
    </row>
    <row r="119" spans="8:8">
      <c r="A119" s="1065">
        <f t="shared" si="38"/>
        <v>0.3500000000000208</v>
      </c>
      <c r="B119" s="1073">
        <f t="shared" si="36"/>
        <v>49.00000000000291</v>
      </c>
      <c r="AN119" s="1072"/>
      <c r="AO119" s="1072"/>
      <c r="AP119" s="1072"/>
      <c r="AQ119" s="1072"/>
      <c r="AR119" s="1072"/>
      <c r="AS119" s="1072"/>
      <c r="AT119" s="1072"/>
      <c r="AU119" s="1072"/>
      <c r="AV119" s="1072"/>
    </row>
    <row r="120" spans="8:8">
      <c r="A120" s="1065">
        <f t="shared" si="38"/>
        <v>0.3527777777777988</v>
      </c>
      <c r="B120" s="1073">
        <f t="shared" si="36"/>
        <v>49.38888888889183</v>
      </c>
      <c r="AN120" s="1072"/>
      <c r="AO120" s="1072"/>
      <c r="AP120" s="1072"/>
      <c r="AQ120" s="1072"/>
      <c r="AR120" s="1072"/>
      <c r="AS120" s="1072"/>
      <c r="AT120" s="1072"/>
      <c r="AU120" s="1072"/>
      <c r="AV120" s="1072"/>
    </row>
    <row r="121" spans="8:8">
      <c r="A121" s="1065">
        <f t="shared" si="38"/>
        <v>0.3555555555555768</v>
      </c>
      <c r="B121" s="1073">
        <f t="shared" si="36"/>
        <v>49.77777777778075</v>
      </c>
      <c r="AN121" s="1072"/>
      <c r="AO121" s="1072"/>
      <c r="AP121" s="1072"/>
      <c r="AQ121" s="1072"/>
      <c r="AR121" s="1072"/>
      <c r="AS121" s="1072"/>
      <c r="AT121" s="1072"/>
      <c r="AU121" s="1072"/>
      <c r="AV121" s="1072"/>
    </row>
    <row r="122" spans="8:8">
      <c r="A122" s="1065">
        <f t="shared" si="38"/>
        <v>0.35833333333335476</v>
      </c>
      <c r="B122" s="1073">
        <f t="shared" si="36"/>
        <v>50.16666666666967</v>
      </c>
      <c r="AN122" s="1072"/>
      <c r="AO122" s="1072"/>
      <c r="AP122" s="1072"/>
      <c r="AQ122" s="1072"/>
      <c r="AR122" s="1072"/>
      <c r="AS122" s="1072"/>
      <c r="AT122" s="1072"/>
      <c r="AU122" s="1072"/>
      <c r="AV122" s="1072"/>
    </row>
    <row r="123" spans="8:8">
      <c r="A123" s="1065">
        <f t="shared" si="38"/>
        <v>0.36111111111113275</v>
      </c>
      <c r="B123" s="1073">
        <f t="shared" si="36"/>
        <v>50.555555555558584</v>
      </c>
      <c r="AN123" s="1072"/>
      <c r="AO123" s="1072"/>
      <c r="AP123" s="1072"/>
      <c r="AQ123" s="1072"/>
      <c r="AR123" s="1072"/>
      <c r="AS123" s="1072"/>
      <c r="AT123" s="1072"/>
      <c r="AU123" s="1072"/>
      <c r="AV123" s="1072"/>
    </row>
    <row r="124" spans="8:8">
      <c r="A124" s="1065">
        <f t="shared" si="38"/>
        <v>0.36388888888891074</v>
      </c>
      <c r="B124" s="1073">
        <f t="shared" si="36"/>
        <v>50.944444444447505</v>
      </c>
      <c r="AN124" s="1072"/>
      <c r="AO124" s="1072"/>
      <c r="AP124" s="1072"/>
      <c r="AQ124" s="1072"/>
      <c r="AR124" s="1072"/>
      <c r="AS124" s="1072"/>
      <c r="AT124" s="1072"/>
      <c r="AU124" s="1072"/>
      <c r="AV124" s="1072"/>
    </row>
    <row r="125" spans="8:8">
      <c r="A125" s="1065">
        <f t="shared" si="38"/>
        <v>0.3666666666666888</v>
      </c>
      <c r="B125" s="1073">
        <f t="shared" si="36"/>
        <v>51.333333333336434</v>
      </c>
      <c r="AN125" s="1072"/>
      <c r="AO125" s="1072"/>
      <c r="AP125" s="1072"/>
      <c r="AQ125" s="1072"/>
      <c r="AR125" s="1072"/>
      <c r="AS125" s="1072"/>
      <c r="AT125" s="1072"/>
      <c r="AU125" s="1072"/>
      <c r="AV125" s="1072"/>
    </row>
    <row r="126" spans="8:8">
      <c r="A126" s="1065">
        <f t="shared" si="38"/>
        <v>0.3694444444444668</v>
      </c>
      <c r="B126" s="1073">
        <f t="shared" si="36"/>
        <v>51.72222222222535</v>
      </c>
      <c r="AN126" s="1072"/>
      <c r="AO126" s="1072"/>
      <c r="AP126" s="1072"/>
      <c r="AQ126" s="1072"/>
      <c r="AR126" s="1072"/>
      <c r="AS126" s="1072"/>
      <c r="AT126" s="1072"/>
      <c r="AU126" s="1072"/>
      <c r="AV126" s="1072"/>
    </row>
    <row r="127" spans="8:8">
      <c r="A127" s="1065">
        <f t="shared" si="38"/>
        <v>0.37222222222224477</v>
      </c>
      <c r="B127" s="1073">
        <f t="shared" si="36"/>
        <v>52.11111111111427</v>
      </c>
      <c r="AN127" s="1072"/>
      <c r="AO127" s="1072"/>
      <c r="AP127" s="1072"/>
      <c r="AQ127" s="1072"/>
      <c r="AR127" s="1072"/>
      <c r="AS127" s="1072"/>
      <c r="AT127" s="1072"/>
      <c r="AU127" s="1072"/>
      <c r="AV127" s="1072"/>
    </row>
    <row r="128" spans="8:8">
      <c r="A128" s="1065">
        <f t="shared" si="38"/>
        <v>0.37500000000002276</v>
      </c>
      <c r="B128" s="1073">
        <f t="shared" si="36"/>
        <v>52.50000000000318</v>
      </c>
      <c r="AN128" s="1072"/>
      <c r="AO128" s="1072"/>
      <c r="AP128" s="1072"/>
      <c r="AQ128" s="1072"/>
      <c r="AR128" s="1072"/>
      <c r="AS128" s="1072"/>
      <c r="AT128" s="1072"/>
      <c r="AU128" s="1072"/>
      <c r="AV128" s="1072"/>
    </row>
    <row r="129" spans="8:8">
      <c r="A129" s="1065">
        <f t="shared" si="38"/>
        <v>0.37777777777780075</v>
      </c>
      <c r="B129" s="1073">
        <f t="shared" si="36"/>
        <v>52.888888888892104</v>
      </c>
      <c r="AN129" s="1072"/>
      <c r="AO129" s="1072"/>
      <c r="AP129" s="1072"/>
      <c r="AQ129" s="1072"/>
      <c r="AR129" s="1072"/>
      <c r="AS129" s="1072"/>
      <c r="AT129" s="1072"/>
      <c r="AU129" s="1072"/>
      <c r="AV129" s="1072"/>
    </row>
    <row r="130" spans="8:8">
      <c r="A130" s="1065">
        <f t="shared" si="38"/>
        <v>0.3805555555555788</v>
      </c>
      <c r="B130" s="1073">
        <f t="shared" si="36"/>
        <v>53.27777777778103</v>
      </c>
      <c r="AN130" s="1072"/>
      <c r="AO130" s="1072"/>
      <c r="AP130" s="1072"/>
      <c r="AQ130" s="1072"/>
      <c r="AR130" s="1072"/>
      <c r="AS130" s="1072"/>
      <c r="AT130" s="1072"/>
      <c r="AU130" s="1072"/>
      <c r="AV130" s="1072"/>
    </row>
    <row r="131" spans="8:8">
      <c r="A131" s="1065">
        <f t="shared" si="38"/>
        <v>0.3833333333333568</v>
      </c>
      <c r="B131" s="1073">
        <f t="shared" si="43" ref="B131:B194">B$1*A131</f>
        <v>53.66666666666995</v>
      </c>
      <c r="AN131" s="1072"/>
      <c r="AO131" s="1072"/>
      <c r="AP131" s="1072"/>
      <c r="AQ131" s="1072"/>
      <c r="AR131" s="1072"/>
      <c r="AS131" s="1072"/>
      <c r="AT131" s="1072"/>
      <c r="AU131" s="1072"/>
      <c r="AV131" s="1072"/>
    </row>
    <row r="132" spans="8:8">
      <c r="A132" s="1065">
        <f t="shared" si="44" ref="A132:A195">A131+(1/360)</f>
        <v>0.3861111111111348</v>
      </c>
      <c r="B132" s="1073">
        <f t="shared" si="43"/>
        <v>54.05555555555887</v>
      </c>
      <c r="AN132" s="1072"/>
      <c r="AO132" s="1072"/>
      <c r="AP132" s="1072"/>
      <c r="AQ132" s="1072"/>
      <c r="AR132" s="1072"/>
      <c r="AS132" s="1072"/>
      <c r="AT132" s="1072"/>
      <c r="AU132" s="1072"/>
      <c r="AV132" s="1072"/>
    </row>
    <row r="133" spans="8:8">
      <c r="A133" s="1065">
        <f t="shared" si="44"/>
        <v>0.38888888888891276</v>
      </c>
      <c r="B133" s="1073">
        <f t="shared" si="43"/>
        <v>54.44444444444779</v>
      </c>
      <c r="AN133" s="1072"/>
      <c r="AO133" s="1072"/>
      <c r="AP133" s="1072"/>
      <c r="AQ133" s="1072"/>
      <c r="AR133" s="1072"/>
      <c r="AS133" s="1072"/>
      <c r="AT133" s="1072"/>
      <c r="AU133" s="1072"/>
      <c r="AV133" s="1072"/>
    </row>
    <row r="134" spans="8:8">
      <c r="A134" s="1065">
        <f t="shared" si="44"/>
        <v>0.39166666666669075</v>
      </c>
      <c r="B134" s="1073">
        <f t="shared" si="43"/>
        <v>54.833333333336704</v>
      </c>
      <c r="AN134" s="1072"/>
      <c r="AO134" s="1072"/>
      <c r="AP134" s="1072"/>
      <c r="AQ134" s="1072"/>
      <c r="AR134" s="1072"/>
      <c r="AS134" s="1072"/>
      <c r="AT134" s="1072"/>
      <c r="AU134" s="1072"/>
      <c r="AV134" s="1072"/>
    </row>
    <row r="135" spans="8:8">
      <c r="A135" s="1065">
        <f t="shared" si="44"/>
        <v>0.39444444444446874</v>
      </c>
      <c r="B135" s="1073">
        <f t="shared" si="43"/>
        <v>55.222222222225625</v>
      </c>
      <c r="AN135" s="1072"/>
      <c r="AO135" s="1072"/>
      <c r="AP135" s="1072"/>
      <c r="AQ135" s="1072"/>
      <c r="AR135" s="1072"/>
      <c r="AS135" s="1072"/>
      <c r="AT135" s="1072"/>
      <c r="AU135" s="1072"/>
      <c r="AV135" s="1072"/>
    </row>
    <row r="136" spans="8:8">
      <c r="A136" s="1065">
        <f t="shared" si="44"/>
        <v>0.3972222222222468</v>
      </c>
      <c r="B136" s="1073">
        <f t="shared" si="43"/>
        <v>55.61111111111455</v>
      </c>
      <c r="AN136" s="1072"/>
      <c r="AO136" s="1072"/>
      <c r="AP136" s="1072"/>
      <c r="AQ136" s="1072"/>
      <c r="AR136" s="1072"/>
      <c r="AS136" s="1072"/>
      <c r="AT136" s="1072"/>
      <c r="AU136" s="1072"/>
      <c r="AV136" s="1072"/>
    </row>
    <row r="137" spans="8:8">
      <c r="A137" s="1065">
        <f t="shared" si="44"/>
        <v>0.4000000000000248</v>
      </c>
      <c r="B137" s="1073">
        <f t="shared" si="43"/>
        <v>56.00000000000347</v>
      </c>
      <c r="AN137" s="1072"/>
      <c r="AO137" s="1072"/>
      <c r="AP137" s="1072"/>
      <c r="AQ137" s="1072"/>
      <c r="AR137" s="1072"/>
      <c r="AS137" s="1072"/>
      <c r="AT137" s="1072"/>
      <c r="AU137" s="1072"/>
      <c r="AV137" s="1072"/>
    </row>
    <row r="138" spans="8:8">
      <c r="A138" s="1065">
        <f t="shared" si="44"/>
        <v>0.40277777777780277</v>
      </c>
      <c r="B138" s="1073">
        <f t="shared" si="43"/>
        <v>56.38888888889239</v>
      </c>
      <c r="AN138" s="1072"/>
      <c r="AO138" s="1072"/>
      <c r="AP138" s="1072"/>
      <c r="AQ138" s="1072"/>
      <c r="AR138" s="1072"/>
      <c r="AS138" s="1072"/>
      <c r="AT138" s="1072"/>
      <c r="AU138" s="1072"/>
      <c r="AV138" s="1072"/>
    </row>
    <row r="139" spans="8:8">
      <c r="A139" s="1065">
        <f t="shared" si="44"/>
        <v>0.40555555555558076</v>
      </c>
      <c r="B139" s="1073">
        <f t="shared" si="43"/>
        <v>56.77777777778131</v>
      </c>
      <c r="AN139" s="1072"/>
      <c r="AO139" s="1072"/>
      <c r="AP139" s="1072"/>
      <c r="AQ139" s="1072"/>
      <c r="AR139" s="1072"/>
      <c r="AS139" s="1072"/>
      <c r="AT139" s="1072"/>
      <c r="AU139" s="1072"/>
      <c r="AV139" s="1072"/>
    </row>
    <row r="140" spans="8:8">
      <c r="A140" s="1065">
        <f t="shared" si="44"/>
        <v>0.40833333333335875</v>
      </c>
      <c r="B140" s="1073">
        <f t="shared" si="43"/>
        <v>57.166666666670224</v>
      </c>
      <c r="AN140" s="1072"/>
      <c r="AO140" s="1072"/>
      <c r="AP140" s="1072"/>
      <c r="AQ140" s="1072"/>
      <c r="AR140" s="1072"/>
      <c r="AS140" s="1072"/>
      <c r="AT140" s="1072"/>
      <c r="AU140" s="1072"/>
      <c r="AV140" s="1072"/>
    </row>
    <row r="141" spans="8:8">
      <c r="A141" s="1065">
        <f t="shared" si="44"/>
        <v>0.4111111111111368</v>
      </c>
      <c r="B141" s="1073">
        <f t="shared" si="43"/>
        <v>57.55555555555915</v>
      </c>
      <c r="AN141" s="1072"/>
      <c r="AO141" s="1072"/>
      <c r="AP141" s="1072"/>
      <c r="AQ141" s="1072"/>
      <c r="AR141" s="1072"/>
      <c r="AS141" s="1072"/>
      <c r="AT141" s="1072"/>
      <c r="AU141" s="1072"/>
      <c r="AV141" s="1072"/>
    </row>
    <row r="142" spans="8:8">
      <c r="A142" s="1065">
        <f t="shared" si="44"/>
        <v>0.4138888888889148</v>
      </c>
      <c r="B142" s="1073">
        <f t="shared" si="43"/>
        <v>57.94444444444807</v>
      </c>
      <c r="AN142" s="1072"/>
      <c r="AO142" s="1072"/>
      <c r="AP142" s="1072"/>
      <c r="AQ142" s="1072"/>
      <c r="AR142" s="1072"/>
      <c r="AS142" s="1072"/>
      <c r="AT142" s="1072"/>
      <c r="AU142" s="1072"/>
      <c r="AV142" s="1072"/>
    </row>
    <row r="143" spans="8:8">
      <c r="A143" s="1065">
        <f t="shared" si="44"/>
        <v>0.4166666666666928</v>
      </c>
      <c r="B143" s="1073">
        <f t="shared" si="43"/>
        <v>58.33333333333699</v>
      </c>
      <c r="AN143" s="1072"/>
      <c r="AO143" s="1072"/>
      <c r="AP143" s="1072"/>
      <c r="AQ143" s="1072"/>
      <c r="AR143" s="1072"/>
      <c r="AS143" s="1072"/>
      <c r="AT143" s="1072"/>
      <c r="AU143" s="1072"/>
      <c r="AV143" s="1072"/>
    </row>
    <row r="144" spans="8:8">
      <c r="A144" s="1065">
        <f t="shared" si="44"/>
        <v>0.41944444444447077</v>
      </c>
      <c r="B144" s="1073">
        <f t="shared" si="43"/>
        <v>58.72222222222591</v>
      </c>
      <c r="AN144" s="1072"/>
      <c r="AO144" s="1072"/>
      <c r="AP144" s="1072"/>
      <c r="AQ144" s="1072"/>
      <c r="AR144" s="1072"/>
      <c r="AS144" s="1072"/>
      <c r="AT144" s="1072"/>
      <c r="AU144" s="1072"/>
      <c r="AV144" s="1072"/>
    </row>
    <row r="145" spans="8:8">
      <c r="A145" s="1065">
        <f t="shared" si="44"/>
        <v>0.42222222222224876</v>
      </c>
      <c r="B145" s="1073">
        <f t="shared" si="43"/>
        <v>59.11111111111482</v>
      </c>
      <c r="AN145" s="1072"/>
      <c r="AO145" s="1072"/>
      <c r="AP145" s="1072"/>
      <c r="AQ145" s="1072"/>
      <c r="AR145" s="1072"/>
      <c r="AS145" s="1072"/>
      <c r="AT145" s="1072"/>
      <c r="AU145" s="1072"/>
      <c r="AV145" s="1072"/>
    </row>
    <row r="146" spans="8:8">
      <c r="A146" s="1065">
        <f t="shared" si="44"/>
        <v>0.42500000000002675</v>
      </c>
      <c r="B146" s="1073">
        <f t="shared" si="43"/>
        <v>59.500000000003745</v>
      </c>
      <c r="AN146" s="1072"/>
      <c r="AO146" s="1072"/>
      <c r="AP146" s="1072"/>
      <c r="AQ146" s="1072"/>
      <c r="AR146" s="1072"/>
      <c r="AS146" s="1072"/>
      <c r="AT146" s="1072"/>
      <c r="AU146" s="1072"/>
      <c r="AV146" s="1072"/>
    </row>
    <row r="147" spans="8:8">
      <c r="A147" s="1065">
        <f t="shared" si="44"/>
        <v>0.4277777777778048</v>
      </c>
      <c r="B147" s="1073">
        <f t="shared" si="43"/>
        <v>59.88888888889267</v>
      </c>
      <c r="AN147" s="1072"/>
      <c r="AO147" s="1072"/>
      <c r="AP147" s="1072"/>
      <c r="AQ147" s="1072"/>
      <c r="AR147" s="1072"/>
      <c r="AS147" s="1072"/>
      <c r="AT147" s="1072"/>
      <c r="AU147" s="1072"/>
      <c r="AV147" s="1072"/>
    </row>
    <row r="148" spans="8:8">
      <c r="A148" s="1065">
        <f t="shared" si="44"/>
        <v>0.4305555555555828</v>
      </c>
      <c r="B148" s="1073">
        <f t="shared" si="43"/>
        <v>60.27777777778159</v>
      </c>
      <c r="AN148" s="1072"/>
      <c r="AO148" s="1072"/>
      <c r="AP148" s="1072"/>
      <c r="AQ148" s="1072"/>
      <c r="AR148" s="1072"/>
      <c r="AS148" s="1072"/>
      <c r="AT148" s="1072"/>
      <c r="AU148" s="1072"/>
      <c r="AV148" s="1072"/>
    </row>
    <row r="149" spans="8:8">
      <c r="A149" s="1065">
        <f t="shared" si="44"/>
        <v>0.43333333333336077</v>
      </c>
      <c r="B149" s="1073">
        <f t="shared" si="43"/>
        <v>60.66666666667051</v>
      </c>
      <c r="AN149" s="1072"/>
      <c r="AO149" s="1072"/>
      <c r="AP149" s="1072"/>
      <c r="AQ149" s="1072"/>
      <c r="AR149" s="1072"/>
      <c r="AS149" s="1072"/>
      <c r="AT149" s="1072"/>
      <c r="AU149" s="1072"/>
      <c r="AV149" s="1072"/>
    </row>
    <row r="150" spans="8:8">
      <c r="A150" s="1065">
        <f t="shared" si="44"/>
        <v>0.43611111111113876</v>
      </c>
      <c r="B150" s="1073">
        <f t="shared" si="43"/>
        <v>61.05555555555943</v>
      </c>
      <c r="AN150" s="1072"/>
      <c r="AO150" s="1072"/>
      <c r="AP150" s="1072"/>
      <c r="AQ150" s="1072"/>
      <c r="AR150" s="1072"/>
      <c r="AS150" s="1072"/>
      <c r="AT150" s="1072"/>
      <c r="AU150" s="1072"/>
      <c r="AV150" s="1072"/>
    </row>
    <row r="151" spans="8:8">
      <c r="A151" s="1065">
        <f t="shared" si="44"/>
        <v>0.43888888888891675</v>
      </c>
      <c r="B151" s="1073">
        <f t="shared" si="43"/>
        <v>61.444444444448344</v>
      </c>
      <c r="AN151" s="1072"/>
      <c r="AO151" s="1072"/>
      <c r="AP151" s="1072"/>
      <c r="AQ151" s="1072"/>
      <c r="AR151" s="1072"/>
      <c r="AS151" s="1072"/>
      <c r="AT151" s="1072"/>
      <c r="AU151" s="1072"/>
      <c r="AV151" s="1072"/>
    </row>
    <row r="152" spans="8:8">
      <c r="A152" s="1065">
        <f t="shared" si="44"/>
        <v>0.44166666666669474</v>
      </c>
      <c r="B152" s="1073">
        <f t="shared" si="43"/>
        <v>61.833333333337265</v>
      </c>
      <c r="AN152" s="1072"/>
      <c r="AO152" s="1072"/>
      <c r="AP152" s="1072"/>
      <c r="AQ152" s="1072"/>
      <c r="AR152" s="1072"/>
      <c r="AS152" s="1072"/>
      <c r="AT152" s="1072"/>
      <c r="AU152" s="1072"/>
      <c r="AV152" s="1072"/>
    </row>
    <row r="153" spans="8:8">
      <c r="A153" s="1065">
        <f t="shared" si="44"/>
        <v>0.4444444444444728</v>
      </c>
      <c r="B153" s="1073">
        <f t="shared" si="43"/>
        <v>62.22222222222619</v>
      </c>
      <c r="AN153" s="1072"/>
      <c r="AO153" s="1072"/>
      <c r="AP153" s="1072"/>
      <c r="AQ153" s="1072"/>
      <c r="AR153" s="1072"/>
      <c r="AS153" s="1072"/>
      <c r="AT153" s="1072"/>
      <c r="AU153" s="1072"/>
      <c r="AV153" s="1072"/>
    </row>
    <row r="154" spans="8:8">
      <c r="A154" s="1065">
        <f t="shared" si="44"/>
        <v>0.4472222222222508</v>
      </c>
      <c r="B154" s="1073">
        <f t="shared" si="43"/>
        <v>62.61111111111511</v>
      </c>
      <c r="AN154" s="1072"/>
      <c r="AO154" s="1072"/>
      <c r="AP154" s="1072"/>
      <c r="AQ154" s="1072"/>
      <c r="AR154" s="1072"/>
      <c r="AS154" s="1072"/>
      <c r="AT154" s="1072"/>
      <c r="AU154" s="1072"/>
      <c r="AV154" s="1072"/>
    </row>
    <row r="155" spans="8:8">
      <c r="A155" s="1065">
        <f t="shared" si="44"/>
        <v>0.45000000000002877</v>
      </c>
      <c r="B155" s="1073">
        <f t="shared" si="43"/>
        <v>63.00000000000403</v>
      </c>
      <c r="AN155" s="1072"/>
      <c r="AO155" s="1072"/>
      <c r="AP155" s="1072"/>
      <c r="AQ155" s="1072"/>
      <c r="AR155" s="1072"/>
      <c r="AS155" s="1072"/>
      <c r="AT155" s="1072"/>
      <c r="AU155" s="1072"/>
      <c r="AV155" s="1072"/>
    </row>
    <row r="156" spans="8:8">
      <c r="A156" s="1065">
        <f t="shared" si="44"/>
        <v>0.45277777777780676</v>
      </c>
      <c r="B156" s="1073">
        <f t="shared" si="43"/>
        <v>63.38888888889294</v>
      </c>
      <c r="AN156" s="1072"/>
      <c r="AO156" s="1072"/>
      <c r="AP156" s="1072"/>
      <c r="AQ156" s="1072"/>
      <c r="AR156" s="1072"/>
      <c r="AS156" s="1072"/>
      <c r="AT156" s="1072"/>
      <c r="AU156" s="1072"/>
      <c r="AV156" s="1072"/>
    </row>
    <row r="157" spans="8:8">
      <c r="A157" s="1065">
        <f t="shared" si="44"/>
        <v>0.45555555555558475</v>
      </c>
      <c r="B157" s="1073">
        <f t="shared" si="43"/>
        <v>63.777777777781864</v>
      </c>
      <c r="AN157" s="1072"/>
      <c r="AO157" s="1072"/>
      <c r="AP157" s="1072"/>
      <c r="AQ157" s="1072"/>
      <c r="AR157" s="1072"/>
      <c r="AS157" s="1072"/>
      <c r="AT157" s="1072"/>
      <c r="AU157" s="1072"/>
      <c r="AV157" s="1072"/>
    </row>
    <row r="158" spans="8:8">
      <c r="A158" s="1065">
        <f t="shared" si="44"/>
        <v>0.4583333333333628</v>
      </c>
      <c r="B158" s="1073">
        <f t="shared" si="43"/>
        <v>64.16666666667079</v>
      </c>
      <c r="AN158" s="1072"/>
      <c r="AO158" s="1072"/>
      <c r="AP158" s="1072"/>
      <c r="AQ158" s="1072"/>
      <c r="AR158" s="1072"/>
      <c r="AS158" s="1072"/>
      <c r="AT158" s="1072"/>
      <c r="AU158" s="1072"/>
      <c r="AV158" s="1072"/>
    </row>
    <row r="159" spans="8:8">
      <c r="A159" s="1065">
        <f t="shared" si="44"/>
        <v>0.4611111111111408</v>
      </c>
      <c r="B159" s="1073">
        <f t="shared" si="43"/>
        <v>64.5555555555597</v>
      </c>
      <c r="AN159" s="1072"/>
      <c r="AO159" s="1072"/>
      <c r="AP159" s="1072"/>
      <c r="AQ159" s="1072"/>
      <c r="AR159" s="1072"/>
      <c r="AS159" s="1072"/>
      <c r="AT159" s="1072"/>
      <c r="AU159" s="1072"/>
      <c r="AV159" s="1072"/>
    </row>
    <row r="160" spans="8:8">
      <c r="A160" s="1065">
        <f t="shared" si="44"/>
        <v>0.46388888888891877</v>
      </c>
      <c r="B160" s="1073">
        <f t="shared" si="43"/>
        <v>64.94444444444864</v>
      </c>
      <c r="AN160" s="1072"/>
      <c r="AO160" s="1072"/>
      <c r="AP160" s="1072"/>
      <c r="AQ160" s="1072"/>
      <c r="AR160" s="1072"/>
      <c r="AS160" s="1072"/>
      <c r="AT160" s="1072"/>
      <c r="AU160" s="1072"/>
      <c r="AV160" s="1072"/>
    </row>
    <row r="161" spans="8:8">
      <c r="A161" s="1065">
        <f t="shared" si="44"/>
        <v>0.46666666666669676</v>
      </c>
      <c r="B161" s="1073">
        <f t="shared" si="43"/>
        <v>65.33333333333755</v>
      </c>
      <c r="AN161" s="1072"/>
      <c r="AO161" s="1072"/>
      <c r="AP161" s="1072"/>
      <c r="AQ161" s="1072"/>
      <c r="AR161" s="1072"/>
      <c r="AS161" s="1072"/>
      <c r="AT161" s="1072"/>
      <c r="AU161" s="1072"/>
      <c r="AV161" s="1072"/>
    </row>
    <row r="162" spans="8:8">
      <c r="A162" s="1065">
        <f t="shared" si="44"/>
        <v>0.46944444444447475</v>
      </c>
      <c r="B162" s="1073">
        <f t="shared" si="43"/>
        <v>65.72222222222646</v>
      </c>
      <c r="AN162" s="1072"/>
      <c r="AO162" s="1072"/>
      <c r="AP162" s="1072"/>
      <c r="AQ162" s="1072"/>
      <c r="AR162" s="1072"/>
      <c r="AS162" s="1072"/>
      <c r="AT162" s="1072"/>
      <c r="AU162" s="1072"/>
      <c r="AV162" s="1072"/>
    </row>
    <row r="163" spans="8:8">
      <c r="A163" s="1065">
        <f t="shared" si="44"/>
        <v>0.47222222222225274</v>
      </c>
      <c r="B163" s="1073">
        <f t="shared" si="43"/>
        <v>66.11111111111538</v>
      </c>
      <c r="AN163" s="1072"/>
      <c r="AO163" s="1072"/>
      <c r="AP163" s="1072"/>
      <c r="AQ163" s="1072"/>
      <c r="AR163" s="1072"/>
      <c r="AS163" s="1072"/>
      <c r="AT163" s="1072"/>
      <c r="AU163" s="1072"/>
      <c r="AV163" s="1072"/>
    </row>
    <row r="164" spans="8:8">
      <c r="A164" s="1065">
        <f t="shared" si="44"/>
        <v>0.4750000000000308</v>
      </c>
      <c r="B164" s="1073">
        <f t="shared" si="43"/>
        <v>66.5000000000043</v>
      </c>
      <c r="AN164" s="1072"/>
      <c r="AO164" s="1072"/>
      <c r="AP164" s="1072"/>
      <c r="AQ164" s="1072"/>
      <c r="AR164" s="1072"/>
      <c r="AS164" s="1072"/>
      <c r="AT164" s="1072"/>
      <c r="AU164" s="1072"/>
      <c r="AV164" s="1072"/>
    </row>
    <row r="165" spans="8:8">
      <c r="A165" s="1065">
        <f t="shared" si="44"/>
        <v>0.4777777777778088</v>
      </c>
      <c r="B165" s="1073">
        <f t="shared" si="43"/>
        <v>66.88888888889323</v>
      </c>
      <c r="AN165" s="1072"/>
      <c r="AO165" s="1072"/>
      <c r="AP165" s="1072"/>
      <c r="AQ165" s="1072"/>
      <c r="AR165" s="1072"/>
      <c r="AS165" s="1072"/>
      <c r="AT165" s="1072"/>
      <c r="AU165" s="1072"/>
      <c r="AV165" s="1072"/>
    </row>
    <row r="166" spans="8:8">
      <c r="A166" s="1065">
        <f t="shared" si="44"/>
        <v>0.48055555555558677</v>
      </c>
      <c r="B166" s="1073">
        <f t="shared" si="43"/>
        <v>67.27777777778215</v>
      </c>
      <c r="AN166" s="1072"/>
      <c r="AO166" s="1072"/>
      <c r="AP166" s="1072"/>
      <c r="AQ166" s="1072"/>
      <c r="AR166" s="1072"/>
      <c r="AS166" s="1072"/>
      <c r="AT166" s="1072"/>
      <c r="AU166" s="1072"/>
      <c r="AV166" s="1072"/>
    </row>
    <row r="167" spans="8:8">
      <c r="A167" s="1065">
        <f t="shared" si="44"/>
        <v>0.48333333333336476</v>
      </c>
      <c r="B167" s="1073">
        <f t="shared" si="43"/>
        <v>67.66666666667106</v>
      </c>
      <c r="AN167" s="1072"/>
      <c r="AO167" s="1072"/>
      <c r="AP167" s="1072"/>
      <c r="AQ167" s="1072"/>
      <c r="AR167" s="1072"/>
      <c r="AS167" s="1072"/>
      <c r="AT167" s="1072"/>
      <c r="AU167" s="1072"/>
      <c r="AV167" s="1072"/>
    </row>
    <row r="168" spans="8:8">
      <c r="A168" s="1065">
        <f t="shared" si="44"/>
        <v>0.48611111111114275</v>
      </c>
      <c r="B168" s="1073">
        <f t="shared" si="43"/>
        <v>68.05555555555999</v>
      </c>
      <c r="AN168" s="1072"/>
      <c r="AO168" s="1072"/>
      <c r="AP168" s="1072"/>
      <c r="AQ168" s="1072"/>
      <c r="AR168" s="1072"/>
      <c r="AS168" s="1072"/>
      <c r="AT168" s="1072"/>
      <c r="AU168" s="1072"/>
      <c r="AV168" s="1072"/>
    </row>
    <row r="169" spans="8:8">
      <c r="A169" s="1065">
        <f t="shared" si="44"/>
        <v>0.4888888888889208</v>
      </c>
      <c r="B169" s="1073">
        <f t="shared" si="43"/>
        <v>68.4444444444489</v>
      </c>
      <c r="AN169" s="1072"/>
      <c r="AO169" s="1072"/>
      <c r="AP169" s="1072"/>
      <c r="AQ169" s="1072"/>
      <c r="AR169" s="1072"/>
      <c r="AS169" s="1072"/>
      <c r="AT169" s="1072"/>
      <c r="AU169" s="1072"/>
      <c r="AV169" s="1072"/>
    </row>
    <row r="170" spans="8:8">
      <c r="A170" s="1065">
        <f t="shared" si="44"/>
        <v>0.4916666666666988</v>
      </c>
      <c r="B170" s="1073">
        <f t="shared" si="43"/>
        <v>68.83333333333783</v>
      </c>
      <c r="AN170" s="1072"/>
      <c r="AO170" s="1072"/>
      <c r="AP170" s="1072"/>
      <c r="AQ170" s="1072"/>
      <c r="AR170" s="1072"/>
      <c r="AS170" s="1072"/>
      <c r="AT170" s="1072"/>
      <c r="AU170" s="1072"/>
      <c r="AV170" s="1072"/>
    </row>
    <row r="171" spans="8:8">
      <c r="A171" s="1065">
        <f t="shared" si="44"/>
        <v>0.49444444444447677</v>
      </c>
      <c r="B171" s="1073">
        <f t="shared" si="43"/>
        <v>69.22222222222675</v>
      </c>
      <c r="AN171" s="1072"/>
      <c r="AO171" s="1072"/>
      <c r="AP171" s="1072"/>
      <c r="AQ171" s="1072"/>
      <c r="AR171" s="1072"/>
      <c r="AS171" s="1072"/>
      <c r="AT171" s="1072"/>
      <c r="AU171" s="1072"/>
      <c r="AV171" s="1072"/>
    </row>
    <row r="172" spans="8:8">
      <c r="A172" s="1065">
        <f t="shared" si="44"/>
        <v>0.49722222222225476</v>
      </c>
      <c r="B172" s="1073">
        <f t="shared" si="43"/>
        <v>69.61111111111566</v>
      </c>
      <c r="AN172" s="1072"/>
      <c r="AO172" s="1072"/>
      <c r="AP172" s="1072"/>
      <c r="AQ172" s="1072"/>
      <c r="AR172" s="1072"/>
      <c r="AS172" s="1072"/>
      <c r="AT172" s="1072"/>
      <c r="AU172" s="1072"/>
      <c r="AV172" s="1072"/>
    </row>
    <row r="173" spans="8:8">
      <c r="A173" s="1065">
        <f t="shared" si="44"/>
        <v>0.5000000000000328</v>
      </c>
      <c r="B173" s="1073">
        <f t="shared" si="43"/>
        <v>70.00000000000459</v>
      </c>
      <c r="AN173" s="1072"/>
      <c r="AO173" s="1072"/>
      <c r="AP173" s="1072"/>
      <c r="AQ173" s="1072"/>
      <c r="AR173" s="1072"/>
      <c r="AS173" s="1072"/>
      <c r="AT173" s="1072"/>
      <c r="AU173" s="1072"/>
      <c r="AV173" s="1072"/>
    </row>
    <row r="174" spans="8:8">
      <c r="A174" s="1065">
        <f t="shared" si="44"/>
        <v>0.5027777777778107</v>
      </c>
      <c r="B174" s="1073">
        <f t="shared" si="43"/>
        <v>70.3888888888935</v>
      </c>
      <c r="AN174" s="1072"/>
      <c r="AO174" s="1072"/>
      <c r="AP174" s="1072"/>
      <c r="AQ174" s="1072"/>
      <c r="AR174" s="1072"/>
      <c r="AS174" s="1072"/>
      <c r="AT174" s="1072"/>
      <c r="AU174" s="1072"/>
      <c r="AV174" s="1072"/>
    </row>
    <row r="175" spans="8:8">
      <c r="A175" s="1065">
        <f t="shared" si="44"/>
        <v>0.5055555555555887</v>
      </c>
      <c r="B175" s="1073">
        <f t="shared" si="43"/>
        <v>70.77777777778242</v>
      </c>
      <c r="AN175" s="1072"/>
      <c r="AO175" s="1072"/>
      <c r="AP175" s="1072"/>
      <c r="AQ175" s="1072"/>
      <c r="AR175" s="1072"/>
      <c r="AS175" s="1072"/>
      <c r="AT175" s="1072"/>
      <c r="AU175" s="1072"/>
      <c r="AV175" s="1072"/>
    </row>
    <row r="176" spans="8:8">
      <c r="A176" s="1065">
        <f t="shared" si="44"/>
        <v>0.5083333333333667</v>
      </c>
      <c r="B176" s="1073">
        <f t="shared" si="43"/>
        <v>71.16666666667135</v>
      </c>
      <c r="AN176" s="1072"/>
      <c r="AO176" s="1072"/>
      <c r="AP176" s="1072"/>
      <c r="AQ176" s="1072"/>
      <c r="AR176" s="1072"/>
      <c r="AS176" s="1072"/>
      <c r="AT176" s="1072"/>
      <c r="AU176" s="1072"/>
      <c r="AV176" s="1072"/>
    </row>
    <row r="177" spans="8:8">
      <c r="A177" s="1065">
        <f t="shared" si="44"/>
        <v>0.5111111111111448</v>
      </c>
      <c r="B177" s="1073">
        <f t="shared" si="43"/>
        <v>71.55555555556028</v>
      </c>
      <c r="AN177" s="1072"/>
      <c r="AO177" s="1072"/>
      <c r="AP177" s="1072"/>
      <c r="AQ177" s="1072"/>
      <c r="AR177" s="1072"/>
      <c r="AS177" s="1072"/>
      <c r="AT177" s="1072"/>
      <c r="AU177" s="1072"/>
      <c r="AV177" s="1072"/>
    </row>
    <row r="178" spans="8:8">
      <c r="A178" s="1065">
        <f t="shared" si="44"/>
        <v>0.5138888888889228</v>
      </c>
      <c r="B178" s="1073">
        <f t="shared" si="43"/>
        <v>71.94444444444919</v>
      </c>
      <c r="AN178" s="1072"/>
      <c r="AO178" s="1072"/>
      <c r="AP178" s="1072"/>
      <c r="AQ178" s="1072"/>
      <c r="AR178" s="1072"/>
      <c r="AS178" s="1072"/>
      <c r="AT178" s="1072"/>
      <c r="AU178" s="1072"/>
      <c r="AV178" s="1072"/>
    </row>
    <row r="179" spans="8:8">
      <c r="A179" s="1065">
        <f t="shared" si="44"/>
        <v>0.5166666666667008</v>
      </c>
      <c r="B179" s="1073">
        <f t="shared" si="43"/>
        <v>72.33333333333812</v>
      </c>
      <c r="AN179" s="1072"/>
      <c r="AO179" s="1072"/>
      <c r="AP179" s="1072"/>
      <c r="AQ179" s="1072"/>
      <c r="AR179" s="1072"/>
      <c r="AS179" s="1072"/>
      <c r="AT179" s="1072"/>
      <c r="AU179" s="1072"/>
      <c r="AV179" s="1072"/>
    </row>
    <row r="180" spans="8:8">
      <c r="A180" s="1065">
        <f t="shared" si="44"/>
        <v>0.5194444444444788</v>
      </c>
      <c r="B180" s="1073">
        <f t="shared" si="43"/>
        <v>72.72222222222703</v>
      </c>
      <c r="AN180" s="1072"/>
      <c r="AO180" s="1072"/>
      <c r="AP180" s="1072"/>
      <c r="AQ180" s="1072"/>
      <c r="AR180" s="1072"/>
      <c r="AS180" s="1072"/>
      <c r="AT180" s="1072"/>
      <c r="AU180" s="1072"/>
      <c r="AV180" s="1072"/>
    </row>
    <row r="181" spans="8:8">
      <c r="A181" s="1065">
        <f t="shared" si="44"/>
        <v>0.5222222222222568</v>
      </c>
      <c r="B181" s="1073">
        <f t="shared" si="43"/>
        <v>73.11111111111595</v>
      </c>
      <c r="AN181" s="1072"/>
      <c r="AO181" s="1072"/>
      <c r="AP181" s="1072"/>
      <c r="AQ181" s="1072"/>
      <c r="AR181" s="1072"/>
      <c r="AS181" s="1072"/>
      <c r="AT181" s="1072"/>
      <c r="AU181" s="1072"/>
      <c r="AV181" s="1072"/>
    </row>
    <row r="182" spans="8:8">
      <c r="A182" s="1065">
        <f t="shared" si="44"/>
        <v>0.5250000000000348</v>
      </c>
      <c r="B182" s="1073">
        <f t="shared" si="43"/>
        <v>73.50000000000487</v>
      </c>
      <c r="AN182" s="1072"/>
      <c r="AO182" s="1072"/>
      <c r="AP182" s="1072"/>
      <c r="AQ182" s="1072"/>
      <c r="AR182" s="1072"/>
      <c r="AS182" s="1072"/>
      <c r="AT182" s="1072"/>
      <c r="AU182" s="1072"/>
      <c r="AV182" s="1072"/>
    </row>
    <row r="183" spans="8:8">
      <c r="A183" s="1065">
        <f t="shared" si="44"/>
        <v>0.5277777777778128</v>
      </c>
      <c r="B183" s="1073">
        <f t="shared" si="43"/>
        <v>73.88888888889379</v>
      </c>
      <c r="AN183" s="1072"/>
      <c r="AO183" s="1072"/>
      <c r="AP183" s="1072"/>
      <c r="AQ183" s="1072"/>
      <c r="AR183" s="1072"/>
      <c r="AS183" s="1072"/>
      <c r="AT183" s="1072"/>
      <c r="AU183" s="1072"/>
      <c r="AV183" s="1072"/>
    </row>
    <row r="184" spans="8:8">
      <c r="A184" s="1065">
        <f t="shared" si="44"/>
        <v>0.5305555555555908</v>
      </c>
      <c r="B184" s="1073">
        <f t="shared" si="43"/>
        <v>74.2777777777827</v>
      </c>
      <c r="AN184" s="1072"/>
      <c r="AO184" s="1072"/>
      <c r="AP184" s="1072"/>
      <c r="AQ184" s="1072"/>
      <c r="AR184" s="1072"/>
      <c r="AS184" s="1072"/>
      <c r="AT184" s="1072"/>
      <c r="AU184" s="1072"/>
      <c r="AV184" s="1072"/>
    </row>
    <row r="185" spans="8:8">
      <c r="A185" s="1065">
        <f t="shared" si="44"/>
        <v>0.5333333333333687</v>
      </c>
      <c r="B185" s="1073">
        <f t="shared" si="43"/>
        <v>74.66666666667163</v>
      </c>
      <c r="AN185" s="1072"/>
      <c r="AO185" s="1072"/>
      <c r="AP185" s="1072"/>
      <c r="AQ185" s="1072"/>
      <c r="AR185" s="1072"/>
      <c r="AS185" s="1072"/>
      <c r="AT185" s="1072"/>
      <c r="AU185" s="1072"/>
      <c r="AV185" s="1072"/>
    </row>
    <row r="186" spans="8:8">
      <c r="A186" s="1065">
        <f t="shared" si="44"/>
        <v>0.5361111111111467</v>
      </c>
      <c r="B186" s="1073">
        <f t="shared" si="43"/>
        <v>75.05555555556055</v>
      </c>
      <c r="AN186" s="1072"/>
      <c r="AO186" s="1072"/>
      <c r="AP186" s="1072"/>
      <c r="AQ186" s="1072"/>
      <c r="AR186" s="1072"/>
      <c r="AS186" s="1072"/>
      <c r="AT186" s="1072"/>
      <c r="AU186" s="1072"/>
      <c r="AV186" s="1072"/>
    </row>
    <row r="187" spans="8:8">
      <c r="A187" s="1065">
        <f t="shared" si="44"/>
        <v>0.5388888888889247</v>
      </c>
      <c r="B187" s="1073">
        <f t="shared" si="43"/>
        <v>75.44444444444946</v>
      </c>
      <c r="AN187" s="1072"/>
      <c r="AO187" s="1072"/>
      <c r="AP187" s="1072"/>
      <c r="AQ187" s="1072"/>
      <c r="AR187" s="1072"/>
      <c r="AS187" s="1072"/>
      <c r="AT187" s="1072"/>
      <c r="AU187" s="1072"/>
      <c r="AV187" s="1072"/>
    </row>
    <row r="188" spans="8:8">
      <c r="A188" s="1065">
        <f t="shared" si="44"/>
        <v>0.5416666666667028</v>
      </c>
      <c r="B188" s="1073">
        <f t="shared" si="43"/>
        <v>75.8333333333384</v>
      </c>
      <c r="AN188" s="1072"/>
      <c r="AO188" s="1072"/>
      <c r="AP188" s="1072"/>
      <c r="AQ188" s="1072"/>
      <c r="AR188" s="1072"/>
      <c r="AS188" s="1072"/>
      <c r="AT188" s="1072"/>
      <c r="AU188" s="1072"/>
      <c r="AV188" s="1072"/>
    </row>
    <row r="189" spans="8:8">
      <c r="A189" s="1065">
        <f t="shared" si="44"/>
        <v>0.5444444444444808</v>
      </c>
      <c r="B189" s="1073">
        <f t="shared" si="43"/>
        <v>76.22222222222732</v>
      </c>
      <c r="AN189" s="1072"/>
      <c r="AO189" s="1072"/>
      <c r="AP189" s="1072"/>
      <c r="AQ189" s="1072"/>
      <c r="AR189" s="1072"/>
      <c r="AS189" s="1072"/>
      <c r="AT189" s="1072"/>
      <c r="AU189" s="1072"/>
      <c r="AV189" s="1072"/>
    </row>
    <row r="190" spans="8:8">
      <c r="A190" s="1065">
        <f t="shared" si="44"/>
        <v>0.5472222222222588</v>
      </c>
      <c r="B190" s="1073">
        <f t="shared" si="43"/>
        <v>76.61111111111623</v>
      </c>
      <c r="AN190" s="1072"/>
      <c r="AO190" s="1072"/>
      <c r="AP190" s="1072"/>
      <c r="AQ190" s="1072"/>
      <c r="AR190" s="1072"/>
      <c r="AS190" s="1072"/>
      <c r="AT190" s="1072"/>
      <c r="AU190" s="1072"/>
      <c r="AV190" s="1072"/>
    </row>
    <row r="191" spans="8:8">
      <c r="A191" s="1065">
        <f t="shared" si="44"/>
        <v>0.5500000000000368</v>
      </c>
      <c r="B191" s="1073">
        <f t="shared" si="43"/>
        <v>77.00000000000514</v>
      </c>
      <c r="AN191" s="1072"/>
      <c r="AO191" s="1072"/>
      <c r="AP191" s="1072"/>
      <c r="AQ191" s="1072"/>
      <c r="AR191" s="1072"/>
      <c r="AS191" s="1072"/>
      <c r="AT191" s="1072"/>
      <c r="AU191" s="1072"/>
      <c r="AV191" s="1072"/>
    </row>
    <row r="192" spans="8:8">
      <c r="A192" s="1065">
        <f t="shared" si="44"/>
        <v>0.5527777777778148</v>
      </c>
      <c r="B192" s="1073">
        <f t="shared" si="43"/>
        <v>77.38888888889407</v>
      </c>
      <c r="AN192" s="1072"/>
      <c r="AO192" s="1072"/>
      <c r="AP192" s="1072"/>
      <c r="AQ192" s="1072"/>
      <c r="AR192" s="1072"/>
      <c r="AS192" s="1072"/>
      <c r="AT192" s="1072"/>
      <c r="AU192" s="1072"/>
      <c r="AV192" s="1072"/>
    </row>
    <row r="193" spans="8:8">
      <c r="A193" s="1065">
        <f t="shared" si="44"/>
        <v>0.5555555555555928</v>
      </c>
      <c r="B193" s="1073">
        <f t="shared" si="43"/>
        <v>77.77777777778299</v>
      </c>
      <c r="AN193" s="1072"/>
      <c r="AO193" s="1072"/>
      <c r="AP193" s="1072"/>
      <c r="AQ193" s="1072"/>
      <c r="AR193" s="1072"/>
      <c r="AS193" s="1072"/>
      <c r="AT193" s="1072"/>
      <c r="AU193" s="1072"/>
      <c r="AV193" s="1072"/>
    </row>
    <row r="194" spans="8:8">
      <c r="A194" s="1065">
        <f t="shared" si="44"/>
        <v>0.5583333333333708</v>
      </c>
      <c r="B194" s="1073">
        <f t="shared" si="43"/>
        <v>78.1666666666719</v>
      </c>
      <c r="AN194" s="1072"/>
      <c r="AO194" s="1072"/>
      <c r="AP194" s="1072"/>
      <c r="AQ194" s="1072"/>
      <c r="AR194" s="1072"/>
      <c r="AS194" s="1072"/>
      <c r="AT194" s="1072"/>
      <c r="AU194" s="1072"/>
      <c r="AV194" s="1072"/>
    </row>
    <row r="195" spans="8:8">
      <c r="A195" s="1065">
        <f t="shared" si="44"/>
        <v>0.5611111111111488</v>
      </c>
      <c r="B195" s="1073">
        <f t="shared" si="45" ref="B195:B222">B$1*A195</f>
        <v>78.55555555556083</v>
      </c>
      <c r="AN195" s="1072"/>
      <c r="AO195" s="1072"/>
      <c r="AP195" s="1072"/>
      <c r="AQ195" s="1072"/>
      <c r="AR195" s="1072"/>
      <c r="AS195" s="1072"/>
      <c r="AT195" s="1072"/>
      <c r="AU195" s="1072"/>
      <c r="AV195" s="1072"/>
    </row>
    <row r="196" spans="8:8">
      <c r="A196" s="1065">
        <f t="shared" si="46" ref="A196:A222">A195+(1/360)</f>
        <v>0.5638888888889267</v>
      </c>
      <c r="B196" s="1073">
        <f t="shared" si="45"/>
        <v>78.94444444444974</v>
      </c>
      <c r="AN196" s="1072"/>
      <c r="AO196" s="1072"/>
      <c r="AP196" s="1072"/>
      <c r="AQ196" s="1072"/>
      <c r="AR196" s="1072"/>
      <c r="AS196" s="1072"/>
      <c r="AT196" s="1072"/>
      <c r="AU196" s="1072"/>
      <c r="AV196" s="1072"/>
    </row>
    <row r="197" spans="8:8">
      <c r="A197" s="1065">
        <f t="shared" si="46"/>
        <v>0.5666666666667047</v>
      </c>
      <c r="B197" s="1073">
        <f t="shared" si="45"/>
        <v>79.33333333333866</v>
      </c>
      <c r="AN197" s="1072"/>
      <c r="AO197" s="1072"/>
      <c r="AP197" s="1072"/>
      <c r="AQ197" s="1072"/>
      <c r="AR197" s="1072"/>
      <c r="AS197" s="1072"/>
      <c r="AT197" s="1072"/>
      <c r="AU197" s="1072"/>
      <c r="AV197" s="1072"/>
    </row>
    <row r="198" spans="8:8">
      <c r="A198" s="1065">
        <f t="shared" si="46"/>
        <v>0.5694444444444827</v>
      </c>
      <c r="B198" s="1073">
        <f t="shared" si="45"/>
        <v>79.72222222222759</v>
      </c>
      <c r="AN198" s="1072"/>
      <c r="AO198" s="1072"/>
      <c r="AP198" s="1072"/>
      <c r="AQ198" s="1072"/>
      <c r="AR198" s="1072"/>
      <c r="AS198" s="1072"/>
      <c r="AT198" s="1072"/>
      <c r="AU198" s="1072"/>
      <c r="AV198" s="1072"/>
    </row>
    <row r="199" spans="8:8">
      <c r="A199" s="1065">
        <f t="shared" si="46"/>
        <v>0.5722222222222607</v>
      </c>
      <c r="B199" s="1073">
        <f t="shared" si="45"/>
        <v>80.1111111111165</v>
      </c>
      <c r="AN199" s="1072"/>
      <c r="AO199" s="1072"/>
      <c r="AP199" s="1072"/>
      <c r="AQ199" s="1072"/>
      <c r="AR199" s="1072"/>
      <c r="AS199" s="1072"/>
      <c r="AT199" s="1072"/>
      <c r="AU199" s="1072"/>
      <c r="AV199" s="1072"/>
    </row>
    <row r="200" spans="8:8">
      <c r="A200" s="1065">
        <f t="shared" si="46"/>
        <v>0.5750000000000388</v>
      </c>
      <c r="B200" s="1073">
        <f t="shared" si="45"/>
        <v>80.50000000000543</v>
      </c>
      <c r="AN200" s="1072"/>
      <c r="AO200" s="1072"/>
      <c r="AP200" s="1072"/>
      <c r="AQ200" s="1072"/>
      <c r="AR200" s="1072"/>
      <c r="AS200" s="1072"/>
      <c r="AT200" s="1072"/>
      <c r="AU200" s="1072"/>
      <c r="AV200" s="1072"/>
    </row>
    <row r="201" spans="8:8">
      <c r="A201" s="1065">
        <f t="shared" si="46"/>
        <v>0.5777777777778168</v>
      </c>
      <c r="B201" s="1073">
        <f t="shared" si="45"/>
        <v>80.88888888889436</v>
      </c>
      <c r="AN201" s="1072"/>
      <c r="AO201" s="1072"/>
      <c r="AP201" s="1072"/>
      <c r="AQ201" s="1072"/>
      <c r="AR201" s="1072"/>
      <c r="AS201" s="1072"/>
      <c r="AT201" s="1072"/>
      <c r="AU201" s="1072"/>
      <c r="AV201" s="1072"/>
    </row>
    <row r="202" spans="8:8">
      <c r="A202" s="1065">
        <f t="shared" si="46"/>
        <v>0.5805555555555948</v>
      </c>
      <c r="B202" s="1073">
        <f t="shared" si="45"/>
        <v>81.27777777778327</v>
      </c>
      <c r="AN202" s="1072"/>
      <c r="AO202" s="1072"/>
      <c r="AP202" s="1072"/>
      <c r="AQ202" s="1072"/>
      <c r="AR202" s="1072"/>
      <c r="AS202" s="1072"/>
      <c r="AT202" s="1072"/>
      <c r="AU202" s="1072"/>
      <c r="AV202" s="1072"/>
    </row>
    <row r="203" spans="8:8">
      <c r="A203" s="1065">
        <f t="shared" si="46"/>
        <v>0.5833333333333728</v>
      </c>
      <c r="B203" s="1073">
        <f t="shared" si="45"/>
        <v>81.66666666667219</v>
      </c>
      <c r="AN203" s="1072"/>
      <c r="AO203" s="1072"/>
      <c r="AP203" s="1072"/>
      <c r="AQ203" s="1072"/>
      <c r="AR203" s="1072"/>
      <c r="AS203" s="1072"/>
      <c r="AT203" s="1072"/>
      <c r="AU203" s="1072"/>
      <c r="AV203" s="1072"/>
    </row>
    <row r="204" spans="8:8">
      <c r="A204" s="1065">
        <f t="shared" si="46"/>
        <v>0.5861111111111508</v>
      </c>
      <c r="B204" s="1073">
        <f t="shared" si="45"/>
        <v>82.05555555556111</v>
      </c>
      <c r="AN204" s="1072"/>
      <c r="AO204" s="1072"/>
      <c r="AP204" s="1072"/>
      <c r="AQ204" s="1072"/>
      <c r="AR204" s="1072"/>
      <c r="AS204" s="1072"/>
      <c r="AT204" s="1072"/>
      <c r="AU204" s="1072"/>
      <c r="AV204" s="1072"/>
    </row>
    <row r="205" spans="8:8">
      <c r="A205" s="1065">
        <f t="shared" si="46"/>
        <v>0.5888888888889288</v>
      </c>
      <c r="B205" s="1073">
        <f t="shared" si="45"/>
        <v>82.44444444445003</v>
      </c>
      <c r="AN205" s="1072"/>
      <c r="AO205" s="1072"/>
      <c r="AP205" s="1072"/>
      <c r="AQ205" s="1072"/>
      <c r="AR205" s="1072"/>
      <c r="AS205" s="1072"/>
      <c r="AT205" s="1072"/>
      <c r="AU205" s="1072"/>
      <c r="AV205" s="1072"/>
    </row>
    <row r="206" spans="8:8">
      <c r="A206" s="1065">
        <f t="shared" si="46"/>
        <v>0.5916666666667068</v>
      </c>
      <c r="B206" s="1073">
        <f t="shared" si="45"/>
        <v>82.83333333333894</v>
      </c>
      <c r="AN206" s="1072"/>
      <c r="AO206" s="1072"/>
      <c r="AP206" s="1072"/>
      <c r="AQ206" s="1072"/>
      <c r="AR206" s="1072"/>
      <c r="AS206" s="1072"/>
      <c r="AT206" s="1072"/>
      <c r="AU206" s="1072"/>
      <c r="AV206" s="1072"/>
    </row>
    <row r="207" spans="8:8">
      <c r="A207" s="1065">
        <f t="shared" si="46"/>
        <v>0.5944444444444847</v>
      </c>
      <c r="B207" s="1073">
        <f t="shared" si="45"/>
        <v>83.22222222222787</v>
      </c>
      <c r="AN207" s="1072"/>
      <c r="AO207" s="1072"/>
      <c r="AP207" s="1072"/>
      <c r="AQ207" s="1072"/>
      <c r="AR207" s="1072"/>
      <c r="AS207" s="1072"/>
      <c r="AT207" s="1072"/>
      <c r="AU207" s="1072"/>
      <c r="AV207" s="1072"/>
    </row>
    <row r="208" spans="8:8">
      <c r="A208" s="1065">
        <f t="shared" si="46"/>
        <v>0.5972222222222627</v>
      </c>
      <c r="B208" s="1073">
        <f t="shared" si="45"/>
        <v>83.61111111111678</v>
      </c>
      <c r="AN208" s="1072"/>
      <c r="AO208" s="1072"/>
      <c r="AP208" s="1072"/>
      <c r="AQ208" s="1072"/>
      <c r="AR208" s="1072"/>
      <c r="AS208" s="1072"/>
      <c r="AT208" s="1072"/>
      <c r="AU208" s="1072"/>
      <c r="AV208" s="1072"/>
    </row>
    <row r="209" spans="8:8">
      <c r="A209" s="1065">
        <f t="shared" si="46"/>
        <v>0.6000000000000407</v>
      </c>
      <c r="B209" s="1073">
        <f t="shared" si="45"/>
        <v>84.0000000000057</v>
      </c>
      <c r="AN209" s="1072"/>
      <c r="AO209" s="1072"/>
      <c r="AP209" s="1072"/>
      <c r="AQ209" s="1072"/>
      <c r="AR209" s="1072"/>
      <c r="AS209" s="1072"/>
      <c r="AT209" s="1072"/>
      <c r="AU209" s="1072"/>
      <c r="AV209" s="1072"/>
    </row>
    <row r="210" spans="8:8">
      <c r="A210" s="1065">
        <f t="shared" si="46"/>
        <v>0.6027777777778187</v>
      </c>
      <c r="B210" s="1073">
        <f t="shared" si="45"/>
        <v>84.38888888889463</v>
      </c>
      <c r="AN210" s="1072"/>
      <c r="AO210" s="1072"/>
      <c r="AP210" s="1072"/>
      <c r="AQ210" s="1072"/>
      <c r="AR210" s="1072"/>
      <c r="AS210" s="1072"/>
      <c r="AT210" s="1072"/>
      <c r="AU210" s="1072"/>
      <c r="AV210" s="1072"/>
    </row>
    <row r="211" spans="8:8">
      <c r="A211" s="1065">
        <f t="shared" si="46"/>
        <v>0.6055555555555968</v>
      </c>
      <c r="B211" s="1073">
        <f t="shared" si="45"/>
        <v>84.77777777778356</v>
      </c>
      <c r="AN211" s="1072"/>
      <c r="AO211" s="1072"/>
      <c r="AP211" s="1072"/>
      <c r="AQ211" s="1072"/>
      <c r="AR211" s="1072"/>
      <c r="AS211" s="1072"/>
      <c r="AT211" s="1072"/>
      <c r="AU211" s="1072"/>
      <c r="AV211" s="1072"/>
    </row>
    <row r="212" spans="8:8">
      <c r="A212" s="1065">
        <f t="shared" si="46"/>
        <v>0.6083333333333748</v>
      </c>
      <c r="B212" s="1073">
        <f t="shared" si="45"/>
        <v>85.16666666667247</v>
      </c>
      <c r="AN212" s="1072"/>
      <c r="AO212" s="1072"/>
      <c r="AP212" s="1072"/>
      <c r="AQ212" s="1072"/>
      <c r="AR212" s="1072"/>
      <c r="AS212" s="1072"/>
      <c r="AT212" s="1072"/>
      <c r="AU212" s="1072"/>
      <c r="AV212" s="1072"/>
    </row>
    <row r="213" spans="8:8">
      <c r="A213" s="1065">
        <f t="shared" si="46"/>
        <v>0.6111111111111528</v>
      </c>
      <c r="B213" s="1073">
        <f t="shared" si="45"/>
        <v>85.5555555555614</v>
      </c>
      <c r="AN213" s="1072"/>
      <c r="AO213" s="1072"/>
      <c r="AP213" s="1072"/>
      <c r="AQ213" s="1072"/>
      <c r="AR213" s="1072"/>
      <c r="AS213" s="1072"/>
      <c r="AT213" s="1072"/>
      <c r="AU213" s="1072"/>
      <c r="AV213" s="1072"/>
    </row>
    <row r="214" spans="8:8">
      <c r="A214" s="1065">
        <f t="shared" si="46"/>
        <v>0.6138888888889308</v>
      </c>
      <c r="B214" s="1073">
        <f t="shared" si="45"/>
        <v>85.94444444445031</v>
      </c>
      <c r="AN214" s="1072"/>
      <c r="AO214" s="1072"/>
      <c r="AP214" s="1072"/>
      <c r="AQ214" s="1072"/>
      <c r="AR214" s="1072"/>
      <c r="AS214" s="1072"/>
      <c r="AT214" s="1072"/>
      <c r="AU214" s="1072"/>
      <c r="AV214" s="1072"/>
    </row>
    <row r="215" spans="8:8">
      <c r="A215" s="1065">
        <f t="shared" si="46"/>
        <v>0.6166666666667088</v>
      </c>
      <c r="B215" s="1073">
        <f t="shared" si="45"/>
        <v>86.33333333333923</v>
      </c>
      <c r="AN215" s="1072"/>
      <c r="AO215" s="1072"/>
      <c r="AP215" s="1072"/>
      <c r="AQ215" s="1072"/>
      <c r="AR215" s="1072"/>
      <c r="AS215" s="1072"/>
      <c r="AT215" s="1072"/>
      <c r="AU215" s="1072"/>
      <c r="AV215" s="1072"/>
    </row>
    <row r="216" spans="8:8">
      <c r="A216" s="1065">
        <f t="shared" si="46"/>
        <v>0.6194444444444868</v>
      </c>
      <c r="B216" s="1073">
        <f t="shared" si="45"/>
        <v>86.72222222222814</v>
      </c>
      <c r="AN216" s="1072"/>
      <c r="AO216" s="1072"/>
      <c r="AP216" s="1072"/>
      <c r="AQ216" s="1072"/>
      <c r="AR216" s="1072"/>
      <c r="AS216" s="1072"/>
      <c r="AT216" s="1072"/>
      <c r="AU216" s="1072"/>
      <c r="AV216" s="1072"/>
    </row>
    <row r="217" spans="8:8">
      <c r="A217" s="1065">
        <f t="shared" si="46"/>
        <v>0.6222222222222648</v>
      </c>
      <c r="B217" s="1073">
        <f t="shared" si="45"/>
        <v>87.11111111111707</v>
      </c>
      <c r="AN217" s="1072"/>
      <c r="AO217" s="1072"/>
      <c r="AP217" s="1072"/>
      <c r="AQ217" s="1072"/>
      <c r="AR217" s="1072"/>
      <c r="AS217" s="1072"/>
      <c r="AT217" s="1072"/>
      <c r="AU217" s="1072"/>
      <c r="AV217" s="1072"/>
    </row>
    <row r="218" spans="8:8">
      <c r="A218" s="1065">
        <f t="shared" si="46"/>
        <v>0.6250000000000427</v>
      </c>
      <c r="B218" s="1073">
        <f t="shared" si="45"/>
        <v>87.50000000000598</v>
      </c>
      <c r="AN218" s="1072"/>
      <c r="AO218" s="1072"/>
      <c r="AP218" s="1072"/>
      <c r="AQ218" s="1072"/>
      <c r="AR218" s="1072"/>
      <c r="AS218" s="1072"/>
      <c r="AT218" s="1072"/>
      <c r="AU218" s="1072"/>
      <c r="AV218" s="1072"/>
    </row>
    <row r="219" spans="8:8">
      <c r="A219" s="1065">
        <f t="shared" si="46"/>
        <v>0.6277777777778207</v>
      </c>
      <c r="B219" s="1073">
        <f t="shared" si="45"/>
        <v>87.8888888888949</v>
      </c>
      <c r="AN219" s="1072"/>
      <c r="AO219" s="1072"/>
      <c r="AP219" s="1072"/>
      <c r="AQ219" s="1072"/>
      <c r="AR219" s="1072"/>
      <c r="AS219" s="1072"/>
      <c r="AT219" s="1072"/>
      <c r="AU219" s="1072"/>
      <c r="AV219" s="1072"/>
    </row>
    <row r="220" spans="8:8">
      <c r="A220" s="1065">
        <f t="shared" si="46"/>
        <v>0.6305555555555987</v>
      </c>
      <c r="B220" s="1073">
        <f t="shared" si="45"/>
        <v>88.27777777778383</v>
      </c>
      <c r="AN220" s="1072"/>
      <c r="AO220" s="1072"/>
      <c r="AP220" s="1072"/>
      <c r="AQ220" s="1072"/>
      <c r="AR220" s="1072"/>
      <c r="AS220" s="1072"/>
      <c r="AT220" s="1072"/>
      <c r="AU220" s="1072"/>
      <c r="AV220" s="1072"/>
    </row>
    <row r="221" spans="8:8">
      <c r="A221" s="1065">
        <f t="shared" si="46"/>
        <v>0.6333333333333767</v>
      </c>
      <c r="B221" s="1073">
        <f t="shared" si="45"/>
        <v>88.66666666667274</v>
      </c>
      <c r="AN221" s="1072"/>
      <c r="AO221" s="1072"/>
      <c r="AP221" s="1072"/>
      <c r="AQ221" s="1072"/>
      <c r="AR221" s="1072"/>
      <c r="AS221" s="1072"/>
      <c r="AT221" s="1072"/>
      <c r="AU221" s="1072"/>
      <c r="AV221" s="1072"/>
    </row>
    <row r="222" spans="8:8">
      <c r="A222" s="1065">
        <f t="shared" si="46"/>
        <v>0.6361111111111548</v>
      </c>
      <c r="B222" s="1073">
        <f t="shared" si="45"/>
        <v>89.05555555556167</v>
      </c>
      <c r="AN222" s="1072"/>
      <c r="AO222" s="1072"/>
      <c r="AP222" s="1072"/>
      <c r="AQ222" s="1072"/>
      <c r="AR222" s="1072"/>
      <c r="AS222" s="1072"/>
      <c r="AT222" s="1072"/>
      <c r="AU222" s="1072"/>
      <c r="AV222" s="1072"/>
    </row>
    <row r="223" spans="8:8">
      <c r="B223" s="1073"/>
      <c r="AN223" s="1072"/>
      <c r="AO223" s="1072"/>
      <c r="AP223" s="1072"/>
      <c r="AQ223" s="1072"/>
      <c r="AR223" s="1072"/>
      <c r="AS223" s="1072"/>
      <c r="AT223" s="1072"/>
      <c r="AU223" s="1072"/>
      <c r="AV223" s="1072"/>
    </row>
    <row r="224" spans="8:8">
      <c r="B224" s="1073"/>
    </row>
    <row r="225" spans="8:8" s="1066" customFormat="1">
      <c r="B225" s="1073"/>
    </row>
    <row r="226" spans="8:8" s="1066" customFormat="1">
      <c r="B226" s="1073"/>
    </row>
    <row r="227" spans="8:8" s="1066" customFormat="1">
      <c r="B227" s="1073"/>
    </row>
    <row r="228" spans="8:8" s="1066" customFormat="1">
      <c r="B228" s="1073"/>
    </row>
    <row r="229" spans="8:8" s="1066" customFormat="1">
      <c r="B229" s="1073"/>
    </row>
    <row r="230" spans="8:8" s="1066" customFormat="1">
      <c r="B230" s="1073"/>
    </row>
    <row r="231" spans="8:8" s="1066" customFormat="1">
      <c r="B231" s="1073"/>
    </row>
    <row r="232" spans="8:8" s="1066" customFormat="1">
      <c r="B232" s="1073"/>
    </row>
    <row r="233" spans="8:8" s="1066" customFormat="1">
      <c r="B233" s="1073"/>
    </row>
    <row r="234" spans="8:8" s="1066" customFormat="1">
      <c r="B234" s="1073"/>
    </row>
    <row r="235" spans="8:8" s="1066" customFormat="1">
      <c r="B235" s="1073"/>
    </row>
    <row r="236" spans="8:8" s="1066" customFormat="1">
      <c r="B236" s="1073"/>
    </row>
    <row r="237" spans="8:8" s="1066" customFormat="1">
      <c r="B237" s="1073"/>
    </row>
    <row r="238" spans="8:8" s="1066" customFormat="1">
      <c r="B238" s="1073"/>
    </row>
    <row r="239" spans="8:8" s="1066" customFormat="1">
      <c r="B239" s="1073"/>
    </row>
    <row r="240" spans="8:8" s="1066" customFormat="1">
      <c r="B240" s="1073"/>
    </row>
    <row r="241" spans="8:8" s="1066" customFormat="1">
      <c r="B241" s="1073"/>
    </row>
    <row r="242" spans="8:8" s="1066" customFormat="1">
      <c r="B242" s="1073"/>
    </row>
    <row r="243" spans="8:8" s="1066" customFormat="1">
      <c r="B243" s="1073"/>
    </row>
    <row r="244" spans="8:8" s="1066" customFormat="1">
      <c r="B244" s="1073"/>
    </row>
    <row r="245" spans="8:8" s="1066" customFormat="1">
      <c r="B245" s="1073"/>
    </row>
    <row r="246" spans="8:8" s="1066" customFormat="1">
      <c r="B246" s="1073"/>
    </row>
    <row r="247" spans="8:8" s="1066" customFormat="1">
      <c r="B247" s="1073"/>
    </row>
    <row r="248" spans="8:8" s="1066" customFormat="1">
      <c r="B248" s="1073"/>
    </row>
    <row r="249" spans="8:8" s="1066" customFormat="1">
      <c r="B249" s="1073"/>
    </row>
    <row r="250" spans="8:8" s="1066" customFormat="1">
      <c r="B250" s="1073"/>
    </row>
  </sheetData>
  <mergeCells count="15">
    <mergeCell ref="AH12:AP12"/>
    <mergeCell ref="AS12:AX12"/>
    <mergeCell ref="AH11:AP11"/>
    <mergeCell ref="AS11:AX11"/>
    <mergeCell ref="AW14:AZ14"/>
    <mergeCell ref="V36:W36"/>
    <mergeCell ref="D1:J2"/>
    <mergeCell ref="R51:S51"/>
    <mergeCell ref="S38:U38"/>
    <mergeCell ref="R52:S52"/>
    <mergeCell ref="D7:E7"/>
    <mergeCell ref="D51:E51"/>
    <mergeCell ref="E38:G38"/>
    <mergeCell ref="H36:I36"/>
    <mergeCell ref="R7:S7"/>
  </mergeCells>
  <pageMargins left="0.7" right="0.7" top="0.75" bottom="0.75" header="0.3" footer="0.3"/>
</worksheet>
</file>

<file path=xl/worksheets/sheet2.xml><?xml version="1.0" encoding="utf-8"?>
<worksheet xmlns:r="http://schemas.openxmlformats.org/officeDocument/2006/relationships" xmlns="http://schemas.openxmlformats.org/spreadsheetml/2006/main">
  <sheetPr>
    <tabColor rgb="FF00B050"/>
  </sheetPr>
  <dimension ref="A1:AC325"/>
  <sheetViews>
    <sheetView workbookViewId="0" showGridLines="0" showRowColHeaders="0" zoomScale="85">
      <pane ySplit="8" topLeftCell="A9" state="frozen" activePane="bottomLeft"/>
      <selection pane="bottomLeft" activeCell="M106" sqref="M106:N107"/>
    </sheetView>
  </sheetViews>
  <sheetFormatPr defaultRowHeight="15.0" customHeight="1" defaultColWidth="10"/>
  <cols>
    <col min="1" max="1" customWidth="1" width="2.7109375" style="115"/>
    <col min="2" max="5" customWidth="1" width="10.0" style="115"/>
    <col min="6" max="6" customWidth="1" width="2.7109375" style="115"/>
    <col min="7" max="10" customWidth="1" width="10.0" style="115"/>
    <col min="11" max="11" customWidth="1" width="2.7109375" style="115"/>
    <col min="12" max="15" customWidth="1" width="10.0" style="115"/>
    <col min="16" max="16" customWidth="1" width="10.285156" style="115"/>
    <col min="17" max="16384" customWidth="0" width="9.140625" style="115"/>
  </cols>
  <sheetData>
    <row r="1" spans="8:8" ht="9.0" customHeight="1"/>
    <row r="2" spans="8:8" ht="27.0" customHeight="1">
      <c r="B2" s="116" t="s">
        <v>243</v>
      </c>
      <c r="C2" s="117"/>
      <c r="D2" s="116" t="s">
        <v>244</v>
      </c>
      <c r="E2" s="117"/>
      <c r="G2" s="116" t="s">
        <v>245</v>
      </c>
      <c r="H2" s="117"/>
      <c r="I2" s="116" t="s">
        <v>246</v>
      </c>
      <c r="J2" s="117"/>
      <c r="L2" s="118" t="s">
        <v>134</v>
      </c>
      <c r="M2" s="119"/>
      <c r="N2" s="119"/>
      <c r="O2" s="119"/>
      <c r="P2" s="119"/>
      <c r="Q2" s="119"/>
      <c r="R2" s="120"/>
    </row>
    <row r="3" spans="8:8" ht="18.75" customHeight="1">
      <c r="B3" s="121" t="s">
        <v>172</v>
      </c>
      <c r="C3" s="121"/>
      <c r="D3" s="121" t="s">
        <v>37</v>
      </c>
      <c r="E3" s="121"/>
      <c r="G3" s="121" t="s">
        <v>184</v>
      </c>
      <c r="H3" s="121"/>
      <c r="I3" s="122" t="s">
        <v>42</v>
      </c>
      <c r="J3" s="122"/>
    </row>
    <row r="4" spans="8:8" ht="18.75" customHeight="1">
      <c r="B4" s="121" t="s">
        <v>174</v>
      </c>
      <c r="C4" s="121"/>
      <c r="D4" s="121" t="s">
        <v>179</v>
      </c>
      <c r="E4" s="121"/>
      <c r="G4" s="121" t="s">
        <v>183</v>
      </c>
      <c r="H4" s="121"/>
      <c r="I4" s="122" t="s">
        <v>82</v>
      </c>
      <c r="J4" s="122"/>
    </row>
    <row r="5" spans="8:8" ht="18.75" customHeight="1">
      <c r="B5" s="121" t="s">
        <v>173</v>
      </c>
      <c r="C5" s="121"/>
      <c r="D5" s="121" t="s">
        <v>177</v>
      </c>
      <c r="E5" s="121"/>
      <c r="G5" s="121" t="s">
        <v>182</v>
      </c>
      <c r="H5" s="121"/>
      <c r="I5" s="122" t="s">
        <v>186</v>
      </c>
      <c r="J5" s="122"/>
    </row>
    <row r="6" spans="8:8" ht="18.75" customHeight="1">
      <c r="B6" s="121" t="s">
        <v>175</v>
      </c>
      <c r="C6" s="121"/>
      <c r="D6" s="121" t="s">
        <v>180</v>
      </c>
      <c r="E6" s="121"/>
      <c r="G6" s="121" t="s">
        <v>185</v>
      </c>
      <c r="H6" s="121"/>
      <c r="I6" s="123" t="s">
        <v>188</v>
      </c>
      <c r="J6" s="123"/>
    </row>
    <row r="7" spans="8:8" ht="18.75" customHeight="1">
      <c r="B7" s="121" t="s">
        <v>176</v>
      </c>
      <c r="C7" s="121"/>
      <c r="D7" s="121" t="s">
        <v>178</v>
      </c>
      <c r="E7" s="121"/>
      <c r="I7" s="123" t="s">
        <v>189</v>
      </c>
      <c r="J7" s="123"/>
    </row>
    <row r="8" spans="8:8" ht="9.0" customHeight="1"/>
    <row r="9" spans="8:8" ht="9.0" customHeight="1">
      <c r="B9" s="124"/>
      <c r="C9" s="124"/>
      <c r="D9" s="124"/>
      <c r="E9" s="124"/>
      <c r="F9" s="124"/>
      <c r="G9" s="124"/>
      <c r="H9" s="124"/>
      <c r="I9" s="124"/>
      <c r="J9" s="124"/>
      <c r="K9" s="124"/>
      <c r="P9" s="125"/>
    </row>
    <row r="10" spans="8:8" ht="15.0" customHeight="1">
      <c r="B10" s="126" t="s">
        <v>171</v>
      </c>
      <c r="C10" s="127" t="s">
        <v>172</v>
      </c>
      <c r="D10" s="127"/>
      <c r="E10" s="128"/>
      <c r="G10" s="126" t="s">
        <v>171</v>
      </c>
      <c r="H10" s="129" t="s">
        <v>173</v>
      </c>
      <c r="I10" s="129"/>
      <c r="J10" s="128"/>
      <c r="L10" s="126" t="s">
        <v>171</v>
      </c>
      <c r="M10" s="130" t="s">
        <v>174</v>
      </c>
      <c r="N10" s="130"/>
      <c r="O10" s="128"/>
      <c r="P10" s="131"/>
    </row>
    <row r="11" spans="8:8" ht="15.0" customHeight="1">
      <c r="B11" s="126"/>
      <c r="C11" s="127"/>
      <c r="D11" s="127"/>
      <c r="E11" s="128"/>
      <c r="G11" s="126"/>
      <c r="H11" s="129"/>
      <c r="I11" s="129"/>
      <c r="J11" s="128"/>
      <c r="L11" s="126"/>
      <c r="M11" s="130"/>
      <c r="N11" s="130"/>
      <c r="O11" s="128"/>
      <c r="P11" s="131"/>
    </row>
    <row r="12" spans="8:8" ht="15.0" customHeight="1">
      <c r="B12" s="132" t="s">
        <v>38</v>
      </c>
      <c r="C12" s="133">
        <v>224.42</v>
      </c>
      <c r="D12" s="134">
        <v>-3.41</v>
      </c>
      <c r="E12" s="135"/>
      <c r="G12" s="136" t="s">
        <v>117</v>
      </c>
      <c r="H12" s="137">
        <v>359.98</v>
      </c>
      <c r="I12" s="134">
        <v>-0.71</v>
      </c>
      <c r="J12" s="135"/>
      <c r="L12" s="136" t="s">
        <v>117</v>
      </c>
      <c r="M12" s="137">
        <v>377.6</v>
      </c>
      <c r="N12" s="134">
        <v>-27.4</v>
      </c>
      <c r="O12" s="135"/>
      <c r="P12" s="131"/>
    </row>
    <row r="13" spans="8:8" ht="15.0" customHeight="1">
      <c r="B13" s="136"/>
      <c r="C13" s="138">
        <v>227.72</v>
      </c>
      <c r="D13" s="134">
        <v>-3.65</v>
      </c>
      <c r="E13" s="135"/>
      <c r="G13" s="136"/>
      <c r="H13" s="138">
        <v>360.6</v>
      </c>
      <c r="I13" s="134">
        <v>-0.64</v>
      </c>
      <c r="J13" s="135"/>
      <c r="L13" s="136"/>
      <c r="M13" s="138">
        <v>381.43</v>
      </c>
      <c r="N13" s="134">
        <v>-27.4</v>
      </c>
      <c r="O13" s="135"/>
      <c r="P13" s="131"/>
    </row>
    <row r="14" spans="8:8" ht="15.0" customHeight="1">
      <c r="B14" s="139" t="s">
        <v>223</v>
      </c>
      <c r="C14" s="140">
        <v>230.83</v>
      </c>
      <c r="D14" s="134">
        <v>-3.1</v>
      </c>
      <c r="E14" s="135"/>
      <c r="G14" s="139" t="s">
        <v>223</v>
      </c>
      <c r="H14" s="140">
        <v>369.0</v>
      </c>
      <c r="I14" s="134">
        <v>-0.43</v>
      </c>
      <c r="J14" s="135"/>
      <c r="L14" s="139" t="s">
        <v>223</v>
      </c>
      <c r="M14" s="141"/>
      <c r="N14" s="142"/>
      <c r="O14" s="135"/>
      <c r="P14" s="131"/>
    </row>
    <row r="15" spans="8:8" ht="9.75" customHeight="1">
      <c r="E15" s="135"/>
      <c r="J15" s="135"/>
      <c r="O15" s="135"/>
      <c r="P15" s="131"/>
    </row>
    <row r="16" spans="8:8" ht="15.0" customHeight="1">
      <c r="B16" s="132" t="s">
        <v>65</v>
      </c>
      <c r="C16" s="133">
        <v>368.4</v>
      </c>
      <c r="D16" s="134">
        <v>0.15</v>
      </c>
      <c r="E16" s="135"/>
      <c r="G16" s="132" t="s">
        <v>38</v>
      </c>
      <c r="H16" s="137">
        <v>229.52</v>
      </c>
      <c r="I16" s="134">
        <v>0.23</v>
      </c>
      <c r="J16" s="135"/>
      <c r="L16" s="132" t="s">
        <v>38</v>
      </c>
      <c r="M16" s="137">
        <v>231.68</v>
      </c>
      <c r="N16" s="134">
        <v>-7.53</v>
      </c>
      <c r="O16" s="135"/>
      <c r="P16" s="131"/>
    </row>
    <row r="17" spans="8:8" ht="15.0" customHeight="1">
      <c r="B17" s="136"/>
      <c r="C17" s="138">
        <v>371.6</v>
      </c>
      <c r="D17" s="134">
        <v>0.33</v>
      </c>
      <c r="E17" s="135"/>
      <c r="G17" s="136"/>
      <c r="H17" s="138">
        <v>234.19</v>
      </c>
      <c r="I17" s="134">
        <v>0.38</v>
      </c>
      <c r="J17" s="135"/>
      <c r="L17" s="136"/>
      <c r="M17" s="138">
        <v>236.08</v>
      </c>
      <c r="N17" s="134">
        <v>-7.53</v>
      </c>
      <c r="O17" s="135"/>
      <c r="P17" s="131"/>
    </row>
    <row r="18" spans="8:8" ht="15.0" customHeight="1">
      <c r="B18" s="139" t="s">
        <v>223</v>
      </c>
      <c r="C18" s="140">
        <v>381.2</v>
      </c>
      <c r="D18" s="134">
        <v>0.27</v>
      </c>
      <c r="E18" s="135"/>
      <c r="G18" s="139" t="s">
        <v>223</v>
      </c>
      <c r="H18" s="140">
        <v>256.34</v>
      </c>
      <c r="I18" s="134">
        <v>0.47</v>
      </c>
      <c r="J18" s="135"/>
      <c r="L18" s="139" t="s">
        <v>223</v>
      </c>
      <c r="M18" s="140">
        <v>239.41</v>
      </c>
      <c r="N18" s="134">
        <v>-7.55</v>
      </c>
      <c r="O18" s="135"/>
      <c r="P18" s="131"/>
    </row>
    <row r="19" spans="8:8" ht="9.75" customHeight="1">
      <c r="E19" s="135"/>
      <c r="J19" s="135"/>
      <c r="O19" s="135"/>
      <c r="P19" s="131"/>
    </row>
    <row r="20" spans="8:8" ht="15.0" customHeight="1">
      <c r="B20" s="132" t="s">
        <v>43</v>
      </c>
      <c r="C20" s="137">
        <v>369.28</v>
      </c>
      <c r="D20" s="134">
        <v>-3.04</v>
      </c>
      <c r="E20" s="135"/>
      <c r="G20" s="132" t="s">
        <v>43</v>
      </c>
      <c r="H20" s="137">
        <v>403.08</v>
      </c>
      <c r="I20" s="134">
        <v>-11.5</v>
      </c>
      <c r="J20" s="135"/>
      <c r="L20" s="132" t="s">
        <v>43</v>
      </c>
      <c r="M20" s="137">
        <v>344.55</v>
      </c>
      <c r="N20" s="134">
        <v>-20.6</v>
      </c>
      <c r="O20" s="135"/>
      <c r="P20" s="131"/>
    </row>
    <row r="21" spans="8:8" ht="15.0" customHeight="1">
      <c r="B21" s="136"/>
      <c r="C21" s="138">
        <v>370.7</v>
      </c>
      <c r="D21" s="134">
        <v>-3.25</v>
      </c>
      <c r="E21" s="135"/>
      <c r="G21" s="136"/>
      <c r="H21" s="138">
        <v>404.01</v>
      </c>
      <c r="I21" s="134">
        <v>-11.4</v>
      </c>
      <c r="J21" s="135"/>
      <c r="L21" s="136"/>
      <c r="M21" s="138">
        <v>351.85</v>
      </c>
      <c r="N21" s="134">
        <v>-20.7</v>
      </c>
      <c r="O21" s="135"/>
      <c r="P21" s="131"/>
    </row>
    <row r="22" spans="8:8" ht="15.0" customHeight="1">
      <c r="B22" s="139" t="s">
        <v>223</v>
      </c>
      <c r="C22" s="140">
        <v>375.35</v>
      </c>
      <c r="D22" s="134">
        <v>-3.46</v>
      </c>
      <c r="E22" s="135"/>
      <c r="G22" s="139" t="s">
        <v>223</v>
      </c>
      <c r="H22" s="140">
        <v>410.9</v>
      </c>
      <c r="I22" s="134">
        <v>-11.8</v>
      </c>
      <c r="J22" s="135"/>
      <c r="L22" s="139" t="s">
        <v>223</v>
      </c>
      <c r="M22" s="140">
        <v>353.45</v>
      </c>
      <c r="N22" s="134">
        <v>-20.4</v>
      </c>
      <c r="O22" s="135"/>
      <c r="P22" s="131"/>
    </row>
    <row r="23" spans="8:8" ht="9.75" customHeight="1">
      <c r="E23" s="135"/>
      <c r="J23" s="135"/>
      <c r="O23" s="135"/>
      <c r="P23" s="131"/>
    </row>
    <row r="24" spans="8:8" ht="15.0" customHeight="1">
      <c r="B24" s="132" t="s">
        <v>33</v>
      </c>
      <c r="C24" s="137">
        <v>214.57</v>
      </c>
      <c r="D24" s="134">
        <v>-2.2</v>
      </c>
      <c r="E24" s="135"/>
      <c r="G24" s="132" t="s">
        <v>44</v>
      </c>
      <c r="H24" s="137">
        <v>323.77</v>
      </c>
      <c r="I24" s="134">
        <v>-7.07</v>
      </c>
      <c r="J24" s="143">
        <v>0.1</v>
      </c>
      <c r="L24" s="132" t="s">
        <v>44</v>
      </c>
      <c r="M24" s="137">
        <v>275.0</v>
      </c>
      <c r="N24" s="134">
        <v>-17.5</v>
      </c>
      <c r="O24" s="135"/>
      <c r="P24" s="131"/>
    </row>
    <row r="25" spans="8:8" ht="15.0" customHeight="1">
      <c r="B25" s="136"/>
      <c r="C25" s="138">
        <v>215.62</v>
      </c>
      <c r="D25" s="134">
        <v>-2.64</v>
      </c>
      <c r="E25" s="135"/>
      <c r="G25" s="136"/>
      <c r="H25" s="138">
        <v>333.01</v>
      </c>
      <c r="I25" s="134">
        <v>-7.0</v>
      </c>
      <c r="J25" s="143">
        <v>0.1</v>
      </c>
      <c r="L25" s="136"/>
      <c r="M25" s="138">
        <v>282.42</v>
      </c>
      <c r="N25" s="134">
        <v>-17.5</v>
      </c>
      <c r="O25" s="135"/>
      <c r="P25" s="131"/>
    </row>
    <row r="26" spans="8:8" ht="15.0" customHeight="1">
      <c r="B26" s="139" t="s">
        <v>223</v>
      </c>
      <c r="C26" s="140">
        <v>226.18</v>
      </c>
      <c r="D26" s="134">
        <v>-2.5</v>
      </c>
      <c r="E26" s="135"/>
      <c r="G26" s="144" t="s">
        <v>320</v>
      </c>
      <c r="H26" s="140">
        <v>339.3</v>
      </c>
      <c r="I26" s="134">
        <v>-6.79</v>
      </c>
      <c r="J26" s="143">
        <v>0.0</v>
      </c>
      <c r="L26" s="139" t="s">
        <v>223</v>
      </c>
      <c r="M26" s="140">
        <v>284.11</v>
      </c>
      <c r="N26" s="134">
        <v>-17.5</v>
      </c>
      <c r="O26" s="135"/>
      <c r="P26" s="131"/>
    </row>
    <row r="27" spans="8:8" ht="9.75" customHeight="1">
      <c r="E27" s="135"/>
      <c r="J27" s="135"/>
      <c r="O27" s="135"/>
      <c r="P27" s="131"/>
    </row>
    <row r="28" spans="8:8" ht="15.0" customHeight="1">
      <c r="B28" s="132" t="s">
        <v>45</v>
      </c>
      <c r="C28" s="145" t="s">
        <v>224</v>
      </c>
      <c r="D28" s="134">
        <v>0.3</v>
      </c>
      <c r="E28" s="135"/>
      <c r="G28" s="132" t="s">
        <v>63</v>
      </c>
      <c r="H28" s="137">
        <v>384.72</v>
      </c>
      <c r="I28" s="134">
        <v>-15.7</v>
      </c>
      <c r="J28" s="135"/>
      <c r="L28" s="132" t="s">
        <v>33</v>
      </c>
      <c r="M28" s="137">
        <v>233.47</v>
      </c>
      <c r="N28" s="134">
        <v>-12.3</v>
      </c>
      <c r="O28" s="135"/>
      <c r="P28" s="131"/>
    </row>
    <row r="29" spans="8:8" ht="15.0" customHeight="1">
      <c r="B29" s="136"/>
      <c r="C29" s="146" t="s">
        <v>225</v>
      </c>
      <c r="D29" s="134">
        <v>0.35</v>
      </c>
      <c r="E29" s="135"/>
      <c r="G29" s="136"/>
      <c r="H29" s="138">
        <v>390.0</v>
      </c>
      <c r="I29" s="134">
        <v>-15.5</v>
      </c>
      <c r="J29" s="135"/>
      <c r="L29" s="136"/>
      <c r="M29" s="138">
        <v>238.91</v>
      </c>
      <c r="N29" s="134">
        <v>-11.9</v>
      </c>
      <c r="O29" s="135"/>
      <c r="P29" s="131"/>
    </row>
    <row r="30" spans="8:8" ht="15.0" customHeight="1">
      <c r="B30" s="139" t="s">
        <v>223</v>
      </c>
      <c r="C30" s="140">
        <v>388.49</v>
      </c>
      <c r="D30" s="134">
        <v>0.24</v>
      </c>
      <c r="E30" s="135"/>
      <c r="G30" s="139" t="s">
        <v>223</v>
      </c>
      <c r="H30" s="140">
        <v>397.3</v>
      </c>
      <c r="I30" s="134">
        <v>-15.3</v>
      </c>
      <c r="J30" s="135"/>
      <c r="L30" s="139" t="s">
        <v>223</v>
      </c>
      <c r="M30" s="140">
        <v>239.62</v>
      </c>
      <c r="N30" s="134">
        <v>-12.1</v>
      </c>
      <c r="O30" s="135"/>
      <c r="P30" s="131"/>
    </row>
    <row r="31" spans="8:8" ht="9.75" customHeight="1">
      <c r="E31" s="135"/>
      <c r="J31" s="135"/>
      <c r="O31" s="135"/>
      <c r="P31" s="131"/>
    </row>
    <row r="32" spans="8:8" ht="15.0" customHeight="1">
      <c r="B32" s="132" t="s">
        <v>35</v>
      </c>
      <c r="C32" s="137">
        <v>282.83</v>
      </c>
      <c r="D32" s="134">
        <v>-2.97</v>
      </c>
      <c r="E32" s="135"/>
      <c r="G32" s="132" t="s">
        <v>34</v>
      </c>
      <c r="H32" s="137">
        <v>302.33</v>
      </c>
      <c r="I32" s="134">
        <v>-13.1</v>
      </c>
      <c r="J32" s="135"/>
      <c r="L32" s="132" t="s">
        <v>63</v>
      </c>
      <c r="M32" s="137">
        <v>369.76</v>
      </c>
      <c r="N32" s="134">
        <v>0.64</v>
      </c>
      <c r="O32" s="135"/>
      <c r="P32" s="131"/>
    </row>
    <row r="33" spans="8:8" ht="15.0" customHeight="1">
      <c r="B33" s="136"/>
      <c r="C33" s="138">
        <v>289.14</v>
      </c>
      <c r="D33" s="134">
        <v>-2.67</v>
      </c>
      <c r="E33" s="135"/>
      <c r="G33" s="136"/>
      <c r="H33" s="138">
        <v>306.59</v>
      </c>
      <c r="I33" s="134">
        <v>-13.1</v>
      </c>
      <c r="J33" s="135"/>
      <c r="L33" s="136"/>
      <c r="M33" s="138">
        <v>378.89</v>
      </c>
      <c r="N33" s="134">
        <v>0.93</v>
      </c>
      <c r="O33" s="135"/>
      <c r="P33" s="131"/>
    </row>
    <row r="34" spans="8:8" ht="15.0" customHeight="1">
      <c r="B34" s="139" t="s">
        <v>223</v>
      </c>
      <c r="C34" s="140">
        <v>291.39</v>
      </c>
      <c r="D34" s="134">
        <v>-2.48</v>
      </c>
      <c r="E34" s="135"/>
      <c r="G34" s="139" t="s">
        <v>223</v>
      </c>
      <c r="H34" s="140">
        <v>314.39</v>
      </c>
      <c r="I34" s="134">
        <v>-13.2</v>
      </c>
      <c r="J34" s="135"/>
      <c r="L34" s="139" t="s">
        <v>223</v>
      </c>
      <c r="M34" s="140">
        <v>384.41</v>
      </c>
      <c r="N34" s="134">
        <v>0.84</v>
      </c>
      <c r="O34" s="135"/>
      <c r="P34" s="131"/>
    </row>
    <row r="35" spans="8:8" ht="9.75" customHeight="1">
      <c r="E35" s="135"/>
      <c r="J35" s="135"/>
      <c r="O35" s="135"/>
      <c r="P35" s="131"/>
    </row>
    <row r="36" spans="8:8" ht="15.0" customHeight="1">
      <c r="B36" s="132" t="s">
        <v>46</v>
      </c>
      <c r="C36" s="137">
        <v>356.13</v>
      </c>
      <c r="D36" s="134">
        <v>-6.27</v>
      </c>
      <c r="E36" s="135"/>
      <c r="G36" s="132" t="s">
        <v>35</v>
      </c>
      <c r="H36" s="137">
        <v>229.94</v>
      </c>
      <c r="I36" s="134">
        <v>-11.9</v>
      </c>
      <c r="J36" s="135"/>
      <c r="L36" s="132" t="s">
        <v>34</v>
      </c>
      <c r="M36" s="137">
        <v>371.67</v>
      </c>
      <c r="N36" s="134">
        <v>-71.3</v>
      </c>
      <c r="O36" s="135"/>
      <c r="P36" s="131"/>
    </row>
    <row r="37" spans="8:8" ht="15.0" customHeight="1">
      <c r="B37" s="136"/>
      <c r="C37" s="138">
        <v>357.18</v>
      </c>
      <c r="D37" s="134">
        <v>-6.12</v>
      </c>
      <c r="E37" s="135"/>
      <c r="G37" s="136"/>
      <c r="H37" s="138">
        <v>239.4</v>
      </c>
      <c r="I37" s="134">
        <v>-11.8</v>
      </c>
      <c r="J37" s="135"/>
      <c r="L37" s="136"/>
      <c r="M37" s="138">
        <v>379.2</v>
      </c>
      <c r="N37" s="134">
        <v>-71.3</v>
      </c>
      <c r="O37" s="135"/>
      <c r="P37" s="131"/>
    </row>
    <row r="38" spans="8:8" ht="15.0" customHeight="1">
      <c r="B38" s="139" t="s">
        <v>223</v>
      </c>
      <c r="C38" s="140">
        <v>363.84</v>
      </c>
      <c r="D38" s="134">
        <v>-5.94</v>
      </c>
      <c r="E38" s="135"/>
      <c r="G38" s="139" t="s">
        <v>223</v>
      </c>
      <c r="H38" s="140">
        <v>247.29</v>
      </c>
      <c r="I38" s="134">
        <v>-11.5</v>
      </c>
      <c r="J38" s="135"/>
      <c r="L38" s="139" t="s">
        <v>223</v>
      </c>
      <c r="M38" s="140">
        <v>381.35</v>
      </c>
      <c r="N38" s="134">
        <v>-71.1</v>
      </c>
      <c r="O38" s="135"/>
      <c r="P38" s="131"/>
      <c r="Q38" s="147"/>
    </row>
    <row r="39" spans="8:8" ht="9.75" customHeight="1">
      <c r="E39" s="135"/>
      <c r="J39" s="135"/>
      <c r="O39" s="135"/>
      <c r="P39" s="131"/>
      <c r="Q39" s="147"/>
    </row>
    <row r="40" spans="8:8" ht="15.0" customHeight="1">
      <c r="B40" s="132" t="s">
        <v>39</v>
      </c>
      <c r="C40" s="137">
        <v>260.73</v>
      </c>
      <c r="D40" s="148">
        <v>-0.05</v>
      </c>
      <c r="E40" s="135"/>
      <c r="G40" s="132" t="s">
        <v>46</v>
      </c>
      <c r="H40" s="137">
        <v>349.48</v>
      </c>
      <c r="I40" s="134">
        <v>-14.2</v>
      </c>
      <c r="J40" s="135"/>
      <c r="L40" s="132" t="s">
        <v>45</v>
      </c>
      <c r="M40" s="137">
        <v>263.86</v>
      </c>
      <c r="N40" s="134">
        <v>-9.66</v>
      </c>
      <c r="O40" s="135"/>
      <c r="P40" s="131"/>
      <c r="Q40" s="147"/>
    </row>
    <row r="41" spans="8:8" ht="15.0" customHeight="1">
      <c r="B41" s="136"/>
      <c r="C41" s="138">
        <v>270.14</v>
      </c>
      <c r="D41" s="134">
        <v>-0.05</v>
      </c>
      <c r="E41" s="135"/>
      <c r="G41" s="136"/>
      <c r="H41" s="138">
        <v>355.88</v>
      </c>
      <c r="I41" s="134">
        <v>-14.2</v>
      </c>
      <c r="J41" s="135"/>
      <c r="L41" s="136"/>
      <c r="M41" s="138">
        <v>268.14</v>
      </c>
      <c r="N41" s="134">
        <v>-9.76</v>
      </c>
      <c r="O41" s="135"/>
      <c r="P41" s="131"/>
      <c r="Q41" s="147"/>
    </row>
    <row r="42" spans="8:8" ht="15.0" customHeight="1">
      <c r="B42" s="139" t="s">
        <v>223</v>
      </c>
      <c r="C42" s="140">
        <v>278.51</v>
      </c>
      <c r="D42" s="134">
        <v>-0.04</v>
      </c>
      <c r="E42" s="135"/>
      <c r="G42" s="139" t="s">
        <v>223</v>
      </c>
      <c r="H42" s="140">
        <v>362.53</v>
      </c>
      <c r="I42" s="134">
        <v>-14.2</v>
      </c>
      <c r="J42" s="135"/>
      <c r="L42" s="139" t="s">
        <v>223</v>
      </c>
      <c r="M42" s="140">
        <v>269.7</v>
      </c>
      <c r="N42" s="134">
        <v>-9.74</v>
      </c>
      <c r="O42" s="135"/>
      <c r="P42" s="131"/>
    </row>
    <row r="43" spans="8:8" ht="9.75" customHeight="1">
      <c r="E43" s="135"/>
      <c r="J43" s="135"/>
      <c r="O43" s="135"/>
      <c r="P43" s="131"/>
    </row>
    <row r="44" spans="8:8" ht="15.0" customHeight="1">
      <c r="B44" s="132" t="s">
        <v>40</v>
      </c>
      <c r="C44" s="137">
        <v>219.5</v>
      </c>
      <c r="D44" s="134">
        <v>-6.25</v>
      </c>
      <c r="E44" s="135"/>
      <c r="G44" s="132" t="s">
        <v>64</v>
      </c>
      <c r="H44" s="137">
        <v>286.98</v>
      </c>
      <c r="I44" s="134">
        <v>-13.9</v>
      </c>
      <c r="J44" s="135">
        <v>0.0</v>
      </c>
      <c r="L44" s="132" t="s">
        <v>35</v>
      </c>
      <c r="M44" s="137">
        <v>232.03</v>
      </c>
      <c r="N44" s="134">
        <v>-19.4</v>
      </c>
      <c r="O44" s="135"/>
      <c r="P44" s="131"/>
    </row>
    <row r="45" spans="8:8" ht="15.0" customHeight="1">
      <c r="B45" s="136"/>
      <c r="C45" s="138">
        <v>231.41</v>
      </c>
      <c r="D45" s="134">
        <v>-5.52</v>
      </c>
      <c r="E45" s="135"/>
      <c r="G45" s="136"/>
      <c r="H45" s="138">
        <v>293.22</v>
      </c>
      <c r="I45" s="134">
        <v>-14.1</v>
      </c>
      <c r="J45" s="135">
        <v>0.1</v>
      </c>
      <c r="L45" s="136"/>
      <c r="M45" s="138">
        <v>233.84</v>
      </c>
      <c r="N45" s="149">
        <v>-19.4</v>
      </c>
      <c r="O45" s="135"/>
      <c r="P45" s="131"/>
    </row>
    <row r="46" spans="8:8" ht="15.0" customHeight="1">
      <c r="B46" s="139" t="s">
        <v>223</v>
      </c>
      <c r="C46" s="140">
        <v>236.44</v>
      </c>
      <c r="D46" s="134">
        <v>-5.41</v>
      </c>
      <c r="E46" s="135"/>
      <c r="G46" s="139" t="s">
        <v>223</v>
      </c>
      <c r="H46" s="140">
        <v>300.25</v>
      </c>
      <c r="I46" s="134">
        <v>-14.1</v>
      </c>
      <c r="J46" s="135">
        <v>0.0</v>
      </c>
      <c r="L46" s="139" t="s">
        <v>223</v>
      </c>
      <c r="M46" s="141"/>
      <c r="N46" s="142"/>
      <c r="O46" s="135"/>
      <c r="P46" s="131"/>
    </row>
    <row r="47" spans="8:8" ht="9.75" customHeight="1">
      <c r="E47" s="135"/>
      <c r="J47" s="135"/>
      <c r="O47" s="135"/>
      <c r="P47" s="131"/>
    </row>
    <row r="48" spans="8:8" ht="15.0" customHeight="1">
      <c r="B48" s="132" t="s">
        <v>62</v>
      </c>
      <c r="C48" s="137">
        <v>416.0</v>
      </c>
      <c r="D48" s="134">
        <v>-24.2</v>
      </c>
      <c r="E48" s="135"/>
      <c r="G48" s="132" t="s">
        <v>61</v>
      </c>
      <c r="H48" s="137">
        <v>205.79</v>
      </c>
      <c r="I48" s="134">
        <v>-11.7</v>
      </c>
      <c r="J48" s="135"/>
      <c r="L48" s="132" t="s">
        <v>46</v>
      </c>
      <c r="M48" s="137">
        <v>303.43</v>
      </c>
      <c r="N48" s="134">
        <v>-20.4</v>
      </c>
      <c r="O48" s="135"/>
      <c r="P48" s="131"/>
    </row>
    <row r="49" spans="8:8" ht="15.0" customHeight="1">
      <c r="B49" s="136"/>
      <c r="C49" s="138">
        <v>417.06</v>
      </c>
      <c r="D49" s="134">
        <v>-24.4</v>
      </c>
      <c r="E49" s="135"/>
      <c r="G49" s="136"/>
      <c r="H49" s="138">
        <v>216.75</v>
      </c>
      <c r="I49" s="134">
        <v>-11.8</v>
      </c>
      <c r="J49" s="135"/>
      <c r="L49" s="136"/>
      <c r="M49" s="138">
        <v>310.14</v>
      </c>
      <c r="N49" s="134">
        <v>-20.1</v>
      </c>
      <c r="O49" s="135"/>
      <c r="P49" s="131"/>
    </row>
    <row r="50" spans="8:8" ht="15.0" customHeight="1">
      <c r="B50" s="139" t="s">
        <v>223</v>
      </c>
      <c r="C50" s="140">
        <v>438.74</v>
      </c>
      <c r="D50" s="134">
        <v>-24.8</v>
      </c>
      <c r="E50" s="135"/>
      <c r="G50" s="139" t="s">
        <v>223</v>
      </c>
      <c r="H50" s="140">
        <v>225.27</v>
      </c>
      <c r="I50" s="134">
        <v>-11.6</v>
      </c>
      <c r="J50" s="135"/>
      <c r="L50" s="139" t="s">
        <v>223</v>
      </c>
      <c r="M50" s="141"/>
      <c r="N50" s="142"/>
      <c r="O50" s="135"/>
      <c r="P50" s="131"/>
    </row>
    <row r="51" spans="8:8" ht="9.75" customHeight="1">
      <c r="E51" s="135"/>
      <c r="J51" s="135"/>
      <c r="O51" s="135"/>
      <c r="P51" s="131"/>
    </row>
    <row r="52" spans="8:8" ht="15.0" customHeight="1">
      <c r="E52" s="135"/>
      <c r="G52" s="132" t="s">
        <v>40</v>
      </c>
      <c r="H52" s="137">
        <v>371.9</v>
      </c>
      <c r="I52" s="134">
        <v>2.48</v>
      </c>
      <c r="J52" s="135"/>
      <c r="L52" s="132" t="s">
        <v>64</v>
      </c>
      <c r="M52" s="137">
        <v>385.35</v>
      </c>
      <c r="N52" s="134">
        <v>-42.7</v>
      </c>
      <c r="O52" s="135"/>
      <c r="P52" s="131"/>
    </row>
    <row r="53" spans="8:8" ht="15.0" customHeight="1">
      <c r="B53" s="150" t="s">
        <v>171</v>
      </c>
      <c r="C53" s="151" t="s">
        <v>175</v>
      </c>
      <c r="D53" s="151"/>
      <c r="E53" s="152"/>
      <c r="G53" s="136"/>
      <c r="H53" s="138">
        <v>373.91</v>
      </c>
      <c r="I53" s="134">
        <v>2.46</v>
      </c>
      <c r="J53" s="135"/>
      <c r="L53" s="136"/>
      <c r="M53" s="138">
        <v>389.82</v>
      </c>
      <c r="N53" s="134">
        <v>-42.4</v>
      </c>
      <c r="O53" s="135"/>
      <c r="P53" s="131"/>
    </row>
    <row r="54" spans="8:8" ht="15.0" customHeight="1">
      <c r="B54" s="150"/>
      <c r="C54" s="151"/>
      <c r="D54" s="151"/>
      <c r="E54" s="152"/>
      <c r="G54" s="139" t="s">
        <v>223</v>
      </c>
      <c r="H54" s="140">
        <v>388.54</v>
      </c>
      <c r="I54" s="134">
        <v>2.69</v>
      </c>
      <c r="J54" s="135"/>
      <c r="L54" s="139" t="s">
        <v>223</v>
      </c>
      <c r="M54" s="141"/>
      <c r="N54" s="142"/>
      <c r="O54" s="135"/>
      <c r="P54" s="131"/>
    </row>
    <row r="55" spans="8:8" ht="9.75" customHeight="1">
      <c r="B55" s="153"/>
      <c r="C55" s="153"/>
      <c r="D55" s="153"/>
      <c r="E55" s="135"/>
      <c r="J55" s="135"/>
      <c r="O55" s="135"/>
      <c r="P55" s="131"/>
    </row>
    <row r="56" spans="8:8" ht="15.0" customHeight="1">
      <c r="B56" s="132" t="s">
        <v>117</v>
      </c>
      <c r="C56" s="137">
        <v>337.78</v>
      </c>
      <c r="D56" s="134">
        <v>-3.44</v>
      </c>
      <c r="E56" s="135"/>
      <c r="G56" s="132" t="s">
        <v>62</v>
      </c>
      <c r="H56" s="137">
        <v>256.84</v>
      </c>
      <c r="I56" s="134">
        <v>-21.5</v>
      </c>
      <c r="J56" s="135"/>
      <c r="L56" s="132" t="s">
        <v>61</v>
      </c>
      <c r="M56" s="137">
        <v>230.01</v>
      </c>
      <c r="N56" s="134">
        <v>-13.8</v>
      </c>
      <c r="O56" s="135"/>
      <c r="P56" s="131"/>
    </row>
    <row r="57" spans="8:8" ht="15.0" customHeight="1">
      <c r="B57" s="136"/>
      <c r="C57" s="138">
        <v>352.11</v>
      </c>
      <c r="D57" s="134">
        <v>-3.36</v>
      </c>
      <c r="E57" s="135"/>
      <c r="G57" s="136"/>
      <c r="H57" s="138">
        <v>259.91</v>
      </c>
      <c r="I57" s="134">
        <v>-21.4</v>
      </c>
      <c r="J57" s="135"/>
      <c r="L57" s="136"/>
      <c r="M57" s="138">
        <v>237.76</v>
      </c>
      <c r="N57" s="134">
        <v>-13.8</v>
      </c>
      <c r="O57" s="135"/>
      <c r="P57" s="131"/>
    </row>
    <row r="58" spans="8:8" ht="15.0" customHeight="1">
      <c r="B58" s="139" t="s">
        <v>223</v>
      </c>
      <c r="C58" s="140">
        <v>356.74</v>
      </c>
      <c r="D58" s="134">
        <v>-3.37</v>
      </c>
      <c r="E58" s="135"/>
      <c r="G58" s="139" t="s">
        <v>223</v>
      </c>
      <c r="H58" s="140">
        <v>272.3</v>
      </c>
      <c r="I58" s="134">
        <v>-21.1</v>
      </c>
      <c r="J58" s="135"/>
      <c r="L58" s="139" t="s">
        <v>223</v>
      </c>
      <c r="M58" s="140">
        <v>241.21</v>
      </c>
      <c r="N58" s="134">
        <v>-13.9</v>
      </c>
      <c r="O58" s="135"/>
      <c r="P58" s="131"/>
    </row>
    <row r="59" spans="8:8" ht="9.75" customHeight="1">
      <c r="E59" s="135"/>
      <c r="O59" s="135"/>
      <c r="P59" s="131"/>
    </row>
    <row r="60" spans="8:8" ht="15.0" customHeight="1">
      <c r="B60" s="132" t="s">
        <v>38</v>
      </c>
      <c r="C60" s="137">
        <v>211.21</v>
      </c>
      <c r="D60" s="134">
        <v>-2.76</v>
      </c>
      <c r="E60" s="135"/>
      <c r="J60" s="135"/>
      <c r="L60" s="132" t="s">
        <v>39</v>
      </c>
      <c r="M60" s="137">
        <v>233.16</v>
      </c>
      <c r="N60" s="134">
        <v>-2.51</v>
      </c>
      <c r="O60" s="135"/>
      <c r="P60" s="131"/>
    </row>
    <row r="61" spans="8:8" ht="15.0" customHeight="1">
      <c r="B61" s="136"/>
      <c r="C61" s="138">
        <v>223.29</v>
      </c>
      <c r="D61" s="134">
        <v>-2.66</v>
      </c>
      <c r="E61" s="135"/>
      <c r="G61" s="150" t="s">
        <v>171</v>
      </c>
      <c r="H61" s="154" t="s">
        <v>176</v>
      </c>
      <c r="I61" s="154"/>
      <c r="J61" s="152"/>
      <c r="L61" s="136"/>
      <c r="M61" s="138">
        <v>236.88</v>
      </c>
      <c r="N61" s="134">
        <v>-2.8</v>
      </c>
      <c r="O61" s="135"/>
      <c r="P61" s="131"/>
    </row>
    <row r="62" spans="8:8" ht="15.0" customHeight="1">
      <c r="B62" s="139" t="s">
        <v>223</v>
      </c>
      <c r="C62" s="140">
        <v>231.31</v>
      </c>
      <c r="D62" s="134">
        <v>-2.33</v>
      </c>
      <c r="E62" s="135"/>
      <c r="G62" s="150"/>
      <c r="H62" s="154"/>
      <c r="I62" s="154"/>
      <c r="J62" s="152"/>
      <c r="L62" s="139" t="s">
        <v>223</v>
      </c>
      <c r="M62" s="140">
        <v>238.65</v>
      </c>
      <c r="N62" s="134">
        <v>-2.57</v>
      </c>
      <c r="O62" s="135"/>
      <c r="P62" s="131"/>
    </row>
    <row r="63" spans="8:8" ht="9.75" customHeight="1">
      <c r="E63" s="135"/>
      <c r="G63" s="153"/>
      <c r="H63" s="153"/>
      <c r="I63" s="153"/>
      <c r="J63" s="135"/>
      <c r="O63" s="135"/>
      <c r="P63" s="131"/>
    </row>
    <row r="64" spans="8:8" ht="15.0" customHeight="1">
      <c r="B64" s="132" t="s">
        <v>65</v>
      </c>
      <c r="C64" s="137">
        <v>364.78</v>
      </c>
      <c r="D64" s="134">
        <v>-2.1</v>
      </c>
      <c r="E64" s="143">
        <v>0.11</v>
      </c>
      <c r="G64" s="132" t="s">
        <v>117</v>
      </c>
      <c r="H64" s="137">
        <v>368.5</v>
      </c>
      <c r="I64" s="134">
        <v>-7.98</v>
      </c>
      <c r="J64" s="135"/>
      <c r="L64" s="132" t="s">
        <v>40</v>
      </c>
      <c r="M64" s="137">
        <v>349.42</v>
      </c>
      <c r="N64" s="134">
        <v>-13.8</v>
      </c>
      <c r="O64" s="135"/>
      <c r="P64" s="131"/>
    </row>
    <row r="65" spans="8:8" ht="15.0" customHeight="1">
      <c r="B65" s="136"/>
      <c r="C65" s="138">
        <v>373.38</v>
      </c>
      <c r="D65" s="134">
        <v>-2.1</v>
      </c>
      <c r="E65" s="143">
        <v>0.08</v>
      </c>
      <c r="G65" s="136"/>
      <c r="H65" s="138">
        <v>371.48</v>
      </c>
      <c r="I65" s="134">
        <v>-7.87</v>
      </c>
      <c r="J65" s="135"/>
      <c r="L65" s="136"/>
      <c r="M65" s="138">
        <v>352.15</v>
      </c>
      <c r="N65" s="134">
        <v>-14.1</v>
      </c>
      <c r="O65" s="135"/>
      <c r="P65" s="131"/>
    </row>
    <row r="66" spans="8:8" ht="15.0" customHeight="1">
      <c r="B66" s="139" t="s">
        <v>223</v>
      </c>
      <c r="C66" s="140">
        <v>377.85</v>
      </c>
      <c r="D66" s="134">
        <v>-2.1</v>
      </c>
      <c r="E66" s="143"/>
      <c r="G66" s="139" t="s">
        <v>223</v>
      </c>
      <c r="H66" s="140">
        <v>380.6</v>
      </c>
      <c r="I66" s="134">
        <v>-8.0</v>
      </c>
      <c r="J66" s="135"/>
      <c r="L66" s="139" t="s">
        <v>223</v>
      </c>
      <c r="M66" s="140">
        <v>354.02</v>
      </c>
      <c r="N66" s="134">
        <v>-13.8</v>
      </c>
      <c r="O66" s="135"/>
      <c r="P66" s="131"/>
    </row>
    <row r="67" spans="8:8" ht="9.75" customHeight="1">
      <c r="E67" s="135"/>
      <c r="J67" s="135"/>
      <c r="O67" s="135"/>
      <c r="P67" s="131"/>
    </row>
    <row r="68" spans="8:8" ht="15.0" customHeight="1">
      <c r="B68" s="132" t="s">
        <v>43</v>
      </c>
      <c r="C68" s="137">
        <v>323.54</v>
      </c>
      <c r="D68" s="153">
        <v>-8.82</v>
      </c>
      <c r="E68" s="135"/>
      <c r="G68" s="132" t="s">
        <v>38</v>
      </c>
      <c r="H68" s="137">
        <v>207.44</v>
      </c>
      <c r="I68" s="134">
        <v>-3.01</v>
      </c>
      <c r="J68" s="135"/>
      <c r="L68" s="132" t="s">
        <v>62</v>
      </c>
      <c r="M68" s="137">
        <v>317.83</v>
      </c>
      <c r="N68" s="134">
        <v>-43.7</v>
      </c>
      <c r="O68" s="135"/>
      <c r="P68" s="131"/>
    </row>
    <row r="69" spans="8:8" ht="15.0" customHeight="1">
      <c r="B69" s="136"/>
      <c r="C69" s="138">
        <v>326.78</v>
      </c>
      <c r="D69" s="153">
        <v>-8.82</v>
      </c>
      <c r="E69" s="135"/>
      <c r="G69" s="136"/>
      <c r="H69" s="138">
        <v>211.23</v>
      </c>
      <c r="I69" s="134">
        <v>-2.92</v>
      </c>
      <c r="J69" s="135"/>
      <c r="L69" s="136"/>
      <c r="M69" s="138">
        <v>326.45</v>
      </c>
      <c r="N69" s="134">
        <v>-43.6</v>
      </c>
      <c r="O69" s="135"/>
      <c r="P69" s="131"/>
    </row>
    <row r="70" spans="8:8" ht="15.0" customHeight="1">
      <c r="B70" s="139" t="s">
        <v>223</v>
      </c>
      <c r="C70" s="140">
        <v>330.02</v>
      </c>
      <c r="D70" s="153">
        <v>-8.82</v>
      </c>
      <c r="E70" s="135"/>
      <c r="G70" s="139" t="s">
        <v>223</v>
      </c>
      <c r="H70" s="140">
        <v>220.86</v>
      </c>
      <c r="I70" s="134">
        <v>-2.69</v>
      </c>
      <c r="J70" s="135"/>
      <c r="L70" s="139" t="s">
        <v>223</v>
      </c>
      <c r="M70" s="141"/>
      <c r="N70" s="142"/>
      <c r="O70" s="135"/>
      <c r="P70" s="131"/>
    </row>
    <row r="71" spans="8:8" ht="9.75" customHeight="1">
      <c r="E71" s="135"/>
      <c r="J71" s="135"/>
      <c r="O71" s="135"/>
      <c r="P71" s="131"/>
    </row>
    <row r="72" spans="8:8" ht="15.0" customHeight="1">
      <c r="B72" s="132" t="s">
        <v>44</v>
      </c>
      <c r="C72" s="137">
        <v>360.27</v>
      </c>
      <c r="D72" s="134">
        <v>-6.13</v>
      </c>
      <c r="E72" s="135"/>
      <c r="G72" s="132" t="s">
        <v>33</v>
      </c>
      <c r="H72" s="137">
        <v>212.44</v>
      </c>
      <c r="I72" s="134">
        <v>-5.0</v>
      </c>
      <c r="J72" s="135"/>
      <c r="O72" s="135"/>
      <c r="P72" s="131"/>
    </row>
    <row r="73" spans="8:8" ht="15.0" customHeight="1">
      <c r="B73" s="136"/>
      <c r="C73" s="138">
        <v>375.5</v>
      </c>
      <c r="D73" s="134">
        <v>-6.06</v>
      </c>
      <c r="E73" s="135"/>
      <c r="G73" s="136"/>
      <c r="H73" s="138">
        <v>215.47</v>
      </c>
      <c r="I73" s="134">
        <v>-4.93</v>
      </c>
      <c r="J73" s="135"/>
      <c r="O73" s="135"/>
      <c r="P73" s="131"/>
    </row>
    <row r="74" spans="8:8" ht="15.0" customHeight="1">
      <c r="B74" s="139" t="s">
        <v>223</v>
      </c>
      <c r="C74" s="155">
        <v>377.44</v>
      </c>
      <c r="D74" s="134">
        <v>-6.03</v>
      </c>
      <c r="E74" s="135"/>
      <c r="G74" s="139" t="s">
        <v>223</v>
      </c>
      <c r="H74" s="140">
        <v>242.43</v>
      </c>
      <c r="I74" s="134">
        <v>-4.71</v>
      </c>
      <c r="J74" s="135"/>
      <c r="O74" s="135"/>
      <c r="P74" s="131"/>
    </row>
    <row r="75" spans="8:8" ht="9.75" customHeight="1">
      <c r="E75" s="135"/>
      <c r="J75" s="135"/>
      <c r="O75" s="135"/>
      <c r="P75" s="131"/>
    </row>
    <row r="76" spans="8:8" ht="15.0" customHeight="1">
      <c r="B76" s="132" t="s">
        <v>33</v>
      </c>
      <c r="C76" s="137">
        <v>230.46</v>
      </c>
      <c r="D76" s="134">
        <v>6.65</v>
      </c>
      <c r="E76" s="135"/>
      <c r="G76" s="132" t="s">
        <v>34</v>
      </c>
      <c r="H76" s="137">
        <v>360.3</v>
      </c>
      <c r="I76" s="134">
        <v>-3.56</v>
      </c>
      <c r="J76" s="135"/>
      <c r="O76" s="135"/>
      <c r="P76" s="131"/>
    </row>
    <row r="77" spans="8:8" ht="15.0" customHeight="1">
      <c r="B77" s="136"/>
      <c r="C77" s="138">
        <v>238.15</v>
      </c>
      <c r="D77" s="134">
        <v>6.97</v>
      </c>
      <c r="E77" s="135"/>
      <c r="G77" s="136"/>
      <c r="H77" s="138">
        <v>381.1</v>
      </c>
      <c r="I77" s="134">
        <v>-3.91</v>
      </c>
      <c r="J77" s="135"/>
      <c r="O77" s="135"/>
      <c r="P77" s="131"/>
    </row>
    <row r="78" spans="8:8" ht="15.0" customHeight="1">
      <c r="B78" s="139" t="s">
        <v>223</v>
      </c>
      <c r="C78" s="140">
        <v>240.1</v>
      </c>
      <c r="D78" s="134">
        <v>6.93</v>
      </c>
      <c r="E78" s="135"/>
      <c r="G78" s="139" t="s">
        <v>223</v>
      </c>
      <c r="H78" s="140">
        <v>390.25</v>
      </c>
      <c r="I78" s="134">
        <v>-4.12</v>
      </c>
      <c r="J78" s="135"/>
      <c r="O78" s="135"/>
      <c r="P78" s="131"/>
    </row>
    <row r="79" spans="8:8" ht="9.75" customHeight="1">
      <c r="E79" s="135"/>
      <c r="J79" s="135"/>
      <c r="O79" s="135"/>
      <c r="P79" s="131"/>
    </row>
    <row r="80" spans="8:8" ht="15.0" customHeight="1">
      <c r="B80" s="132" t="s">
        <v>34</v>
      </c>
      <c r="C80" s="137">
        <v>386.9</v>
      </c>
      <c r="D80" s="153">
        <v>-2.67</v>
      </c>
      <c r="E80" s="135"/>
      <c r="G80" s="132" t="s">
        <v>35</v>
      </c>
      <c r="H80" s="137">
        <v>360.5</v>
      </c>
      <c r="I80" s="134">
        <v>-7.01</v>
      </c>
      <c r="J80" s="135"/>
      <c r="O80" s="135"/>
      <c r="P80" s="131"/>
    </row>
    <row r="81" spans="8:8" ht="15.0" customHeight="1">
      <c r="B81" s="136"/>
      <c r="C81" s="138">
        <v>395.9</v>
      </c>
      <c r="D81" s="153">
        <v>-2.62</v>
      </c>
      <c r="E81" s="135"/>
      <c r="G81" s="136"/>
      <c r="H81" s="138">
        <v>374.04</v>
      </c>
      <c r="I81" s="134">
        <v>-7.09</v>
      </c>
      <c r="J81" s="135"/>
      <c r="O81" s="135"/>
      <c r="P81" s="131"/>
    </row>
    <row r="82" spans="8:8" ht="15.0" customHeight="1">
      <c r="B82" s="139" t="s">
        <v>223</v>
      </c>
      <c r="C82" s="140">
        <v>399.3</v>
      </c>
      <c r="D82" s="153">
        <v>-2.38</v>
      </c>
      <c r="E82" s="156"/>
      <c r="G82" s="139" t="s">
        <v>223</v>
      </c>
      <c r="H82" s="140">
        <v>379.34</v>
      </c>
      <c r="I82" s="134">
        <v>-6.78</v>
      </c>
      <c r="J82" s="135"/>
      <c r="O82" s="135"/>
      <c r="P82" s="131"/>
    </row>
    <row r="83" spans="8:8" ht="9.75" customHeight="1">
      <c r="E83" s="135"/>
      <c r="J83" s="135"/>
      <c r="O83" s="135"/>
      <c r="P83" s="131"/>
    </row>
    <row r="84" spans="8:8" ht="15.0" customHeight="1">
      <c r="B84" s="132" t="s">
        <v>35</v>
      </c>
      <c r="C84" s="137">
        <v>379.19</v>
      </c>
      <c r="D84" s="134">
        <v>-1.61</v>
      </c>
      <c r="E84" s="135"/>
      <c r="G84" s="132" t="s">
        <v>46</v>
      </c>
      <c r="H84" s="137">
        <v>319.96</v>
      </c>
      <c r="I84" s="134">
        <v>-13.1</v>
      </c>
      <c r="J84" s="135"/>
      <c r="O84" s="135"/>
      <c r="P84" s="131"/>
    </row>
    <row r="85" spans="8:8" ht="15.0" customHeight="1">
      <c r="B85" s="136"/>
      <c r="C85" s="138">
        <v>389.45</v>
      </c>
      <c r="D85" s="134">
        <v>-1.61</v>
      </c>
      <c r="E85" s="135"/>
      <c r="G85" s="136"/>
      <c r="H85" s="138">
        <v>323.54</v>
      </c>
      <c r="I85" s="134">
        <v>-12.8</v>
      </c>
      <c r="J85" s="135"/>
      <c r="O85" s="135"/>
      <c r="P85" s="131"/>
    </row>
    <row r="86" spans="8:8" ht="15.0" customHeight="1">
      <c r="B86" s="139" t="s">
        <v>223</v>
      </c>
      <c r="C86" s="155">
        <v>395.31</v>
      </c>
      <c r="D86" s="134">
        <v>-1.47</v>
      </c>
      <c r="E86" s="135"/>
      <c r="G86" s="139" t="s">
        <v>223</v>
      </c>
      <c r="H86" s="140">
        <v>344.95</v>
      </c>
      <c r="I86" s="134">
        <v>-12.8</v>
      </c>
      <c r="J86" s="135"/>
      <c r="O86" s="135"/>
      <c r="P86" s="131"/>
    </row>
    <row r="87" spans="8:8" ht="9.75" customHeight="1">
      <c r="E87" s="135"/>
      <c r="J87" s="135"/>
      <c r="O87" s="135"/>
      <c r="P87" s="131"/>
    </row>
    <row r="88" spans="8:8" ht="15.0" customHeight="1">
      <c r="B88" s="132" t="s">
        <v>46</v>
      </c>
      <c r="C88" s="137">
        <v>378.6</v>
      </c>
      <c r="D88" s="134">
        <v>-1.85</v>
      </c>
      <c r="E88" s="135"/>
      <c r="G88" s="132" t="s">
        <v>61</v>
      </c>
      <c r="H88" s="137">
        <v>199.41</v>
      </c>
      <c r="I88" s="134">
        <v>14.4</v>
      </c>
      <c r="J88" s="135"/>
      <c r="O88" s="135"/>
      <c r="P88" s="131"/>
    </row>
    <row r="89" spans="8:8" ht="15.0" customHeight="1">
      <c r="B89" s="136"/>
      <c r="C89" s="138">
        <v>387.95</v>
      </c>
      <c r="D89" s="134">
        <v>-1.81</v>
      </c>
      <c r="E89" s="135"/>
      <c r="G89" s="136"/>
      <c r="H89" s="138">
        <v>199.55</v>
      </c>
      <c r="I89" s="134">
        <v>14.6</v>
      </c>
      <c r="J89" s="135"/>
      <c r="O89" s="135"/>
      <c r="P89" s="131"/>
    </row>
    <row r="90" spans="8:8" ht="15.0" customHeight="1">
      <c r="B90" s="139" t="s">
        <v>223</v>
      </c>
      <c r="C90" s="140">
        <v>394.71</v>
      </c>
      <c r="D90" s="134">
        <v>-1.84</v>
      </c>
      <c r="E90" s="135"/>
      <c r="G90" s="139" t="s">
        <v>223</v>
      </c>
      <c r="H90" s="140">
        <v>205.69</v>
      </c>
      <c r="I90" s="134">
        <v>14.5</v>
      </c>
      <c r="J90" s="135"/>
      <c r="O90" s="135"/>
      <c r="P90" s="131"/>
    </row>
    <row r="91" spans="8:8" ht="9.75" customHeight="1">
      <c r="E91" s="135"/>
      <c r="J91" s="135"/>
      <c r="O91" s="135"/>
      <c r="P91" s="131"/>
    </row>
    <row r="92" spans="8:8" ht="15.0" customHeight="1">
      <c r="B92" s="132" t="s">
        <v>60</v>
      </c>
      <c r="C92" s="137">
        <v>235.27</v>
      </c>
      <c r="D92" s="153">
        <v>-1.29</v>
      </c>
      <c r="E92" s="135"/>
      <c r="G92" s="132" t="s">
        <v>40</v>
      </c>
      <c r="H92" s="137">
        <v>209.0</v>
      </c>
      <c r="I92" s="134">
        <v>-8.36</v>
      </c>
      <c r="J92" s="135"/>
      <c r="O92" s="135"/>
      <c r="P92" s="131"/>
    </row>
    <row r="93" spans="8:8" ht="15.0" customHeight="1">
      <c r="B93" s="136"/>
      <c r="C93" s="138">
        <v>240.98</v>
      </c>
      <c r="D93" s="153">
        <v>-1.36</v>
      </c>
      <c r="E93" s="135"/>
      <c r="G93" s="136"/>
      <c r="H93" s="138">
        <v>218.86</v>
      </c>
      <c r="I93" s="134">
        <v>-8.47</v>
      </c>
      <c r="J93" s="135"/>
      <c r="O93" s="135"/>
      <c r="P93" s="131"/>
    </row>
    <row r="94" spans="8:8" ht="15.0" customHeight="1">
      <c r="B94" s="139" t="s">
        <v>223</v>
      </c>
      <c r="C94" s="140">
        <v>244.06</v>
      </c>
      <c r="D94" s="153">
        <v>-1.39</v>
      </c>
      <c r="E94" s="135"/>
      <c r="G94" s="139" t="s">
        <v>223</v>
      </c>
      <c r="H94" s="140">
        <v>234.53</v>
      </c>
      <c r="I94" s="134">
        <v>-8.55</v>
      </c>
      <c r="J94" s="135"/>
      <c r="O94" s="135"/>
      <c r="P94" s="131"/>
    </row>
    <row r="95" spans="8:8" ht="9.75" customHeight="1">
      <c r="E95" s="135"/>
      <c r="J95" s="135"/>
      <c r="O95" s="135"/>
      <c r="P95" s="131"/>
    </row>
    <row r="96" spans="8:8" ht="15.0" customHeight="1">
      <c r="B96" s="132" t="s">
        <v>39</v>
      </c>
      <c r="C96" s="137">
        <v>362.52</v>
      </c>
      <c r="D96" s="134">
        <v>-9.22</v>
      </c>
      <c r="E96" s="135"/>
      <c r="G96" s="132" t="s">
        <v>118</v>
      </c>
      <c r="H96" s="137">
        <v>331.6</v>
      </c>
      <c r="I96" s="134">
        <v>-4.93</v>
      </c>
      <c r="J96" s="135"/>
      <c r="O96" s="135"/>
      <c r="P96" s="131"/>
    </row>
    <row r="97" spans="8:8" ht="15.0" customHeight="1">
      <c r="B97" s="136"/>
      <c r="C97" s="138">
        <v>371.11</v>
      </c>
      <c r="D97" s="134">
        <v>-9.22</v>
      </c>
      <c r="E97" s="135"/>
      <c r="G97" s="136"/>
      <c r="H97" s="138">
        <v>340.9</v>
      </c>
      <c r="I97" s="134">
        <v>-5.0</v>
      </c>
      <c r="J97" s="135"/>
      <c r="O97" s="135"/>
      <c r="P97" s="131"/>
    </row>
    <row r="98" spans="8:8" ht="15.0" customHeight="1">
      <c r="B98" s="139" t="s">
        <v>223</v>
      </c>
      <c r="C98" s="140">
        <v>375.1</v>
      </c>
      <c r="D98" s="134">
        <v>-9.22</v>
      </c>
      <c r="E98" s="135"/>
      <c r="G98" s="139" t="s">
        <v>223</v>
      </c>
      <c r="H98" s="140">
        <v>356.24</v>
      </c>
      <c r="I98" s="134">
        <v>-4.9</v>
      </c>
      <c r="J98" s="135"/>
      <c r="O98" s="135"/>
      <c r="P98" s="131"/>
    </row>
    <row r="99" spans="8:8" ht="9.75" customHeight="1">
      <c r="E99" s="135"/>
      <c r="J99" s="135"/>
      <c r="O99" s="135"/>
      <c r="P99" s="131"/>
    </row>
    <row r="100" spans="8:8" ht="15.0" customHeight="1">
      <c r="B100" s="132" t="s">
        <v>40</v>
      </c>
      <c r="C100" s="137">
        <v>227.81</v>
      </c>
      <c r="D100" s="134">
        <v>15.6</v>
      </c>
      <c r="E100" s="135"/>
      <c r="J100" s="135"/>
      <c r="O100" s="135"/>
      <c r="P100" s="131"/>
    </row>
    <row r="101" spans="8:8" ht="15.0" customHeight="1">
      <c r="B101" s="136"/>
      <c r="C101" s="138">
        <v>236.86</v>
      </c>
      <c r="D101" s="134">
        <v>15.6</v>
      </c>
      <c r="E101" s="135"/>
      <c r="G101" s="157" t="s">
        <v>134</v>
      </c>
      <c r="H101" s="158"/>
      <c r="I101" s="158"/>
      <c r="J101" s="158"/>
      <c r="K101" s="158"/>
      <c r="L101" s="158"/>
      <c r="M101" s="158"/>
      <c r="N101" s="159"/>
      <c r="O101" s="135"/>
      <c r="P101" s="131"/>
    </row>
    <row r="102" spans="8:8" ht="15.0" customHeight="1">
      <c r="B102" s="139" t="s">
        <v>223</v>
      </c>
      <c r="C102" s="140">
        <v>237.14</v>
      </c>
      <c r="D102" s="134">
        <v>15.6</v>
      </c>
      <c r="E102" s="135"/>
      <c r="G102" s="160"/>
      <c r="H102" s="161"/>
      <c r="I102" s="161"/>
      <c r="J102" s="161"/>
      <c r="K102" s="161"/>
      <c r="L102" s="161"/>
      <c r="M102" s="161"/>
      <c r="N102" s="162"/>
      <c r="O102" s="135"/>
      <c r="P102" s="131"/>
    </row>
    <row r="103" spans="8:8" ht="9.75" customHeight="1">
      <c r="E103" s="135"/>
      <c r="J103" s="135"/>
      <c r="P103" s="163"/>
    </row>
    <row r="104" spans="8:8" ht="15.0" customHeight="1">
      <c r="A104" s="164"/>
      <c r="B104" s="165"/>
      <c r="C104" s="165"/>
      <c r="D104" s="165"/>
      <c r="E104" s="165"/>
      <c r="F104" s="165"/>
      <c r="G104" s="165"/>
      <c r="H104" s="165"/>
      <c r="I104" s="165"/>
      <c r="J104" s="165"/>
      <c r="K104" s="165"/>
      <c r="L104" s="165"/>
      <c r="M104" s="165"/>
      <c r="N104" s="165"/>
      <c r="O104" s="166"/>
      <c r="P104" s="167"/>
    </row>
    <row r="105" spans="8:8" ht="9.75" customHeight="1">
      <c r="P105" s="125"/>
    </row>
    <row r="106" spans="8:8" ht="15.0" customHeight="1">
      <c r="B106" s="150" t="s">
        <v>36</v>
      </c>
      <c r="C106" s="168" t="s">
        <v>177</v>
      </c>
      <c r="D106" s="168"/>
      <c r="E106" s="128"/>
      <c r="G106" s="150" t="s">
        <v>36</v>
      </c>
      <c r="H106" s="129" t="s">
        <v>180</v>
      </c>
      <c r="I106" s="129"/>
      <c r="J106" s="128"/>
      <c r="L106" s="150" t="s">
        <v>36</v>
      </c>
      <c r="M106" s="169" t="s">
        <v>179</v>
      </c>
      <c r="N106" s="169"/>
      <c r="O106" s="128"/>
      <c r="P106" s="131"/>
    </row>
    <row r="107" spans="8:8" ht="15.0" customHeight="1">
      <c r="B107" s="150"/>
      <c r="C107" s="168"/>
      <c r="D107" s="168"/>
      <c r="E107" s="128"/>
      <c r="G107" s="150"/>
      <c r="H107" s="129"/>
      <c r="I107" s="129"/>
      <c r="J107" s="128"/>
      <c r="L107" s="150"/>
      <c r="M107" s="169"/>
      <c r="N107" s="169"/>
      <c r="O107" s="128"/>
      <c r="P107" s="131"/>
    </row>
    <row r="108" spans="8:8" ht="15.0" customHeight="1">
      <c r="B108" s="132" t="s">
        <v>38</v>
      </c>
      <c r="C108" s="137">
        <v>181.14</v>
      </c>
      <c r="D108" s="134">
        <v>-0.3</v>
      </c>
      <c r="E108" s="135"/>
      <c r="G108" s="132" t="s">
        <v>38</v>
      </c>
      <c r="H108" s="137">
        <v>230.51</v>
      </c>
      <c r="I108" s="134">
        <v>-15.8</v>
      </c>
      <c r="J108" s="135"/>
      <c r="L108" s="132" t="s">
        <v>117</v>
      </c>
      <c r="M108" s="137">
        <v>388.18</v>
      </c>
      <c r="N108" s="134">
        <v>-14.5</v>
      </c>
      <c r="O108" s="135"/>
      <c r="P108" s="131"/>
    </row>
    <row r="109" spans="8:8" ht="15.0" customHeight="1">
      <c r="B109" s="136"/>
      <c r="C109" s="138">
        <v>197.79</v>
      </c>
      <c r="D109" s="134">
        <v>-1.33</v>
      </c>
      <c r="E109" s="135"/>
      <c r="G109" s="136"/>
      <c r="H109" s="138">
        <v>239.33</v>
      </c>
      <c r="I109" s="134">
        <v>-16.0</v>
      </c>
      <c r="J109" s="135"/>
      <c r="L109" s="136"/>
      <c r="M109" s="138">
        <v>395.58</v>
      </c>
      <c r="N109" s="134">
        <v>-14.9</v>
      </c>
      <c r="O109" s="135"/>
      <c r="P109" s="131"/>
    </row>
    <row r="110" spans="8:8" ht="15.0" customHeight="1">
      <c r="B110" s="139" t="s">
        <v>223</v>
      </c>
      <c r="C110" s="140">
        <v>201.7</v>
      </c>
      <c r="D110" s="134">
        <v>-0.88</v>
      </c>
      <c r="E110" s="135"/>
      <c r="G110" s="139" t="s">
        <v>223</v>
      </c>
      <c r="H110" s="140">
        <v>247.54</v>
      </c>
      <c r="I110" s="134">
        <v>-16.1</v>
      </c>
      <c r="J110" s="135"/>
      <c r="L110" s="139" t="s">
        <v>223</v>
      </c>
      <c r="M110" s="140">
        <v>402.32</v>
      </c>
      <c r="N110" s="134">
        <v>-14.8</v>
      </c>
      <c r="O110" s="135"/>
      <c r="P110" s="131"/>
    </row>
    <row r="111" spans="8:8" ht="9.75" customHeight="1">
      <c r="E111" s="135"/>
      <c r="J111" s="135"/>
      <c r="O111" s="135"/>
      <c r="P111" s="131"/>
    </row>
    <row r="112" spans="8:8" ht="15.0" customHeight="1">
      <c r="B112" s="132" t="s">
        <v>65</v>
      </c>
      <c r="C112" s="137">
        <v>347.3</v>
      </c>
      <c r="D112" s="134">
        <v>-16.5</v>
      </c>
      <c r="E112" s="135"/>
      <c r="G112" s="132" t="s">
        <v>65</v>
      </c>
      <c r="H112" s="137">
        <v>270.77</v>
      </c>
      <c r="I112" s="134">
        <v>-3.09</v>
      </c>
      <c r="J112" s="135"/>
      <c r="L112" s="132" t="s">
        <v>65</v>
      </c>
      <c r="M112" s="137">
        <v>198.15</v>
      </c>
      <c r="N112" s="134">
        <v>-0.33</v>
      </c>
      <c r="O112" s="135"/>
      <c r="P112" s="131"/>
    </row>
    <row r="113" spans="8:8" ht="15.0" customHeight="1">
      <c r="B113" s="136"/>
      <c r="C113" s="138">
        <v>357.2</v>
      </c>
      <c r="D113" s="134">
        <v>-16.9</v>
      </c>
      <c r="E113" s="135"/>
      <c r="G113" s="136"/>
      <c r="H113" s="138">
        <v>279.27</v>
      </c>
      <c r="I113" s="134">
        <v>-3.21</v>
      </c>
      <c r="J113" s="135"/>
      <c r="L113" s="136"/>
      <c r="M113" s="138">
        <v>203.55</v>
      </c>
      <c r="N113" s="134">
        <v>-0.33</v>
      </c>
      <c r="O113" s="135"/>
      <c r="P113" s="131"/>
    </row>
    <row r="114" spans="8:8" ht="15.0" customHeight="1">
      <c r="B114" s="139" t="s">
        <v>223</v>
      </c>
      <c r="C114" s="140">
        <v>370.46</v>
      </c>
      <c r="D114" s="134">
        <v>-16.7</v>
      </c>
      <c r="E114" s="135"/>
      <c r="G114" s="139" t="s">
        <v>223</v>
      </c>
      <c r="H114" s="140">
        <v>283.93</v>
      </c>
      <c r="I114" s="170">
        <v>-3.4</v>
      </c>
      <c r="J114" s="135"/>
      <c r="L114" s="139" t="s">
        <v>223</v>
      </c>
      <c r="M114" s="140">
        <v>203.6</v>
      </c>
      <c r="N114" s="134">
        <v>-0.42</v>
      </c>
      <c r="O114" s="135"/>
      <c r="P114" s="131"/>
    </row>
    <row r="115" spans="8:8" ht="9.75" customHeight="1">
      <c r="J115" s="135"/>
      <c r="O115" s="135"/>
      <c r="P115" s="131"/>
    </row>
    <row r="116" spans="8:8" ht="15.0" customHeight="1">
      <c r="B116" s="132" t="s">
        <v>33</v>
      </c>
      <c r="C116" s="137">
        <v>364.2</v>
      </c>
      <c r="D116" s="134">
        <v>6.71</v>
      </c>
      <c r="E116" s="135"/>
      <c r="G116" s="132" t="s">
        <v>33</v>
      </c>
      <c r="H116" s="137">
        <v>228.11</v>
      </c>
      <c r="I116" s="134">
        <v>-20.1</v>
      </c>
      <c r="J116" s="135"/>
      <c r="L116" s="132" t="s">
        <v>44</v>
      </c>
      <c r="M116" s="137">
        <v>366.03</v>
      </c>
      <c r="N116" s="134">
        <v>-1.76</v>
      </c>
      <c r="O116" s="135"/>
      <c r="P116" s="131"/>
    </row>
    <row r="117" spans="8:8" ht="15.0" customHeight="1">
      <c r="B117" s="136"/>
      <c r="C117" s="146" t="s">
        <v>226</v>
      </c>
      <c r="D117" s="134">
        <v>7.91</v>
      </c>
      <c r="E117" s="135"/>
      <c r="G117" s="136"/>
      <c r="H117" s="138">
        <v>230.72</v>
      </c>
      <c r="I117" s="134">
        <v>-20.1</v>
      </c>
      <c r="J117" s="135"/>
      <c r="L117" s="136"/>
      <c r="M117" s="146" t="s">
        <v>231</v>
      </c>
      <c r="N117" s="134">
        <v>-1.76</v>
      </c>
      <c r="O117" s="135"/>
      <c r="P117" s="131"/>
    </row>
    <row r="118" spans="8:8" ht="15.0" customHeight="1">
      <c r="B118" s="139" t="s">
        <v>223</v>
      </c>
      <c r="C118" s="155" t="s">
        <v>227</v>
      </c>
      <c r="D118" s="134">
        <v>7.18</v>
      </c>
      <c r="E118" s="135"/>
      <c r="G118" s="139" t="s">
        <v>223</v>
      </c>
      <c r="H118" s="140">
        <v>237.55</v>
      </c>
      <c r="I118" s="134">
        <v>-20.1</v>
      </c>
      <c r="J118" s="135"/>
      <c r="L118" s="139" t="s">
        <v>223</v>
      </c>
      <c r="M118" s="155" t="s">
        <v>232</v>
      </c>
      <c r="N118" s="134">
        <v>-1.76</v>
      </c>
      <c r="O118" s="135"/>
      <c r="P118" s="131"/>
    </row>
    <row r="119" spans="8:8" ht="9.75" customHeight="1">
      <c r="E119" s="135"/>
      <c r="J119" s="135"/>
      <c r="O119" s="135"/>
      <c r="P119" s="131"/>
    </row>
    <row r="120" spans="8:8" ht="15.0" customHeight="1">
      <c r="B120" s="132" t="s">
        <v>63</v>
      </c>
      <c r="C120" s="137">
        <v>236.37</v>
      </c>
      <c r="D120" s="134">
        <v>-19.2</v>
      </c>
      <c r="E120" s="135"/>
      <c r="G120" s="132" t="s">
        <v>35</v>
      </c>
      <c r="H120" s="137">
        <v>226.43</v>
      </c>
      <c r="I120" s="134">
        <v>-5.98</v>
      </c>
      <c r="J120" s="135"/>
      <c r="L120" s="132" t="s">
        <v>33</v>
      </c>
      <c r="M120" s="137">
        <v>385.7</v>
      </c>
      <c r="N120" s="134">
        <v>0.09</v>
      </c>
      <c r="O120" s="135"/>
      <c r="P120" s="131"/>
    </row>
    <row r="121" spans="8:8" ht="15.0" customHeight="1">
      <c r="B121" s="136"/>
      <c r="C121" s="138">
        <v>249.53</v>
      </c>
      <c r="D121" s="134">
        <v>-19.7</v>
      </c>
      <c r="E121" s="135"/>
      <c r="G121" s="136"/>
      <c r="H121" s="138">
        <v>229.74</v>
      </c>
      <c r="I121" s="134">
        <v>-5.99</v>
      </c>
      <c r="J121" s="135"/>
      <c r="L121" s="136"/>
      <c r="M121" s="138">
        <v>388.6</v>
      </c>
      <c r="N121" s="134">
        <v>0.1</v>
      </c>
      <c r="O121" s="135"/>
      <c r="P121" s="131"/>
    </row>
    <row r="122" spans="8:8" ht="15.0" customHeight="1">
      <c r="B122" s="139" t="s">
        <v>223</v>
      </c>
      <c r="C122" s="140">
        <v>259.14</v>
      </c>
      <c r="D122" s="134">
        <v>-19.5</v>
      </c>
      <c r="E122" s="135"/>
      <c r="G122" s="139" t="s">
        <v>223</v>
      </c>
      <c r="H122" s="140">
        <v>233.28</v>
      </c>
      <c r="I122" s="134">
        <v>-5.99</v>
      </c>
      <c r="J122" s="135"/>
      <c r="L122" s="139" t="s">
        <v>223</v>
      </c>
      <c r="M122" s="140">
        <v>390.02</v>
      </c>
      <c r="N122" s="134">
        <v>0.1</v>
      </c>
      <c r="O122" s="135"/>
      <c r="P122" s="131"/>
    </row>
    <row r="123" spans="8:8" ht="9.75" customHeight="1">
      <c r="E123" s="135"/>
      <c r="J123" s="135"/>
      <c r="O123" s="135"/>
      <c r="P123" s="131"/>
    </row>
    <row r="124" spans="8:8" ht="15.0" customHeight="1">
      <c r="B124" s="132" t="s">
        <v>46</v>
      </c>
      <c r="C124" s="137">
        <v>368.48</v>
      </c>
      <c r="D124" s="134">
        <v>-29.6</v>
      </c>
      <c r="E124" s="135"/>
      <c r="G124" s="132" t="s">
        <v>39</v>
      </c>
      <c r="H124" s="137">
        <v>354.4</v>
      </c>
      <c r="I124" s="134">
        <v>-19.9</v>
      </c>
      <c r="J124" s="135"/>
      <c r="L124" s="132" t="s">
        <v>34</v>
      </c>
      <c r="M124" s="137">
        <v>257.67</v>
      </c>
      <c r="N124" s="134">
        <v>-7.85</v>
      </c>
      <c r="O124" s="135"/>
      <c r="P124" s="131"/>
    </row>
    <row r="125" spans="8:8" ht="15.0" customHeight="1">
      <c r="B125" s="136"/>
      <c r="C125" s="138">
        <v>385.7</v>
      </c>
      <c r="D125" s="134">
        <v>-30.0</v>
      </c>
      <c r="E125" s="135"/>
      <c r="G125" s="136"/>
      <c r="H125" s="138">
        <v>357.9</v>
      </c>
      <c r="I125" s="134">
        <v>-20.0</v>
      </c>
      <c r="J125" s="135"/>
      <c r="L125" s="136"/>
      <c r="M125" s="138">
        <v>267.0</v>
      </c>
      <c r="N125" s="134">
        <v>-8.03</v>
      </c>
      <c r="O125" s="135"/>
      <c r="P125" s="131"/>
    </row>
    <row r="126" spans="8:8" ht="15.0" customHeight="1">
      <c r="B126" s="139" t="s">
        <v>223</v>
      </c>
      <c r="C126" s="140">
        <v>388.0</v>
      </c>
      <c r="D126" s="134">
        <v>-29.8</v>
      </c>
      <c r="E126" s="135"/>
      <c r="G126" s="139" t="s">
        <v>223</v>
      </c>
      <c r="H126" s="140">
        <v>364.04</v>
      </c>
      <c r="I126" s="134">
        <v>-19.9</v>
      </c>
      <c r="J126" s="135"/>
      <c r="L126" s="139" t="s">
        <v>223</v>
      </c>
      <c r="M126" s="140">
        <v>268.67</v>
      </c>
      <c r="N126" s="134">
        <v>-8.18</v>
      </c>
      <c r="O126" s="135"/>
      <c r="P126" s="131"/>
    </row>
    <row r="127" spans="8:8" ht="9.75" customHeight="1">
      <c r="E127" s="135"/>
      <c r="J127" s="135"/>
      <c r="O127" s="135"/>
      <c r="P127" s="131"/>
    </row>
    <row r="128" spans="8:8" ht="15.0" customHeight="1">
      <c r="B128" s="132" t="s">
        <v>64</v>
      </c>
      <c r="C128" s="137">
        <v>168.65</v>
      </c>
      <c r="D128" s="134">
        <v>-14.3</v>
      </c>
      <c r="E128" s="135"/>
      <c r="G128" s="132" t="s">
        <v>40</v>
      </c>
      <c r="H128" s="137">
        <v>241.32</v>
      </c>
      <c r="I128" s="134">
        <v>-11.0</v>
      </c>
      <c r="J128" s="135"/>
      <c r="L128" s="132" t="s">
        <v>45</v>
      </c>
      <c r="M128" s="137">
        <v>290.2</v>
      </c>
      <c r="N128" s="134">
        <v>-1.66</v>
      </c>
      <c r="O128" s="135"/>
      <c r="P128" s="131"/>
    </row>
    <row r="129" spans="8:8" ht="15.0" customHeight="1">
      <c r="B129" s="136"/>
      <c r="C129" s="138">
        <v>182.07</v>
      </c>
      <c r="D129" s="134">
        <v>-14.0</v>
      </c>
      <c r="E129" s="135"/>
      <c r="G129" s="136"/>
      <c r="H129" s="138">
        <v>242.06</v>
      </c>
      <c r="I129" s="134">
        <v>-11.2</v>
      </c>
      <c r="J129" s="135"/>
      <c r="L129" s="136"/>
      <c r="M129" s="138">
        <v>294.15</v>
      </c>
      <c r="N129" s="134">
        <v>-1.73</v>
      </c>
      <c r="O129" s="135"/>
      <c r="P129" s="131"/>
    </row>
    <row r="130" spans="8:8" ht="15.0" customHeight="1">
      <c r="B130" s="139" t="s">
        <v>223</v>
      </c>
      <c r="C130" s="140">
        <v>191.39</v>
      </c>
      <c r="D130" s="134">
        <v>-13.8</v>
      </c>
      <c r="E130" s="135"/>
      <c r="G130" s="139" t="s">
        <v>223</v>
      </c>
      <c r="H130" s="140">
        <v>249.14</v>
      </c>
      <c r="I130" s="134">
        <v>-11.1</v>
      </c>
      <c r="J130" s="135"/>
      <c r="L130" s="139" t="s">
        <v>223</v>
      </c>
      <c r="M130" s="140">
        <v>298.75</v>
      </c>
      <c r="N130" s="134">
        <v>-1.7</v>
      </c>
      <c r="O130" s="135"/>
      <c r="P130" s="131"/>
    </row>
    <row r="131" spans="8:8" ht="9.75" customHeight="1">
      <c r="E131" s="135"/>
      <c r="J131" s="135"/>
      <c r="O131" s="135"/>
      <c r="P131" s="131"/>
    </row>
    <row r="132" spans="8:8" ht="15.0" customHeight="1">
      <c r="B132" s="132" t="s">
        <v>40</v>
      </c>
      <c r="C132" s="137">
        <v>180.29</v>
      </c>
      <c r="D132" s="134">
        <v>-3.34</v>
      </c>
      <c r="E132" s="135"/>
      <c r="G132" s="132" t="s">
        <v>62</v>
      </c>
      <c r="H132" s="137">
        <v>366.3</v>
      </c>
      <c r="I132" s="134">
        <v>-2.63</v>
      </c>
      <c r="J132" s="135"/>
      <c r="L132" s="132" t="s">
        <v>35</v>
      </c>
      <c r="M132" s="137">
        <v>223.98</v>
      </c>
      <c r="N132" s="134">
        <v>1.07</v>
      </c>
      <c r="O132" s="135"/>
      <c r="P132" s="131"/>
    </row>
    <row r="133" spans="8:8" ht="15.0" customHeight="1">
      <c r="B133" s="136"/>
      <c r="C133" s="138">
        <v>184.05</v>
      </c>
      <c r="D133" s="134">
        <v>-3.15</v>
      </c>
      <c r="E133" s="135"/>
      <c r="G133" s="136"/>
      <c r="H133" s="138">
        <v>367.52</v>
      </c>
      <c r="I133" s="134">
        <v>-2.42</v>
      </c>
      <c r="J133" s="135"/>
      <c r="L133" s="136"/>
      <c r="M133" s="138">
        <v>225.05</v>
      </c>
      <c r="N133" s="134">
        <v>0.99</v>
      </c>
      <c r="O133" s="135"/>
      <c r="P133" s="131"/>
    </row>
    <row r="134" spans="8:8" ht="15.0" customHeight="1">
      <c r="B134" s="139" t="s">
        <v>223</v>
      </c>
      <c r="C134" s="140">
        <v>188.59</v>
      </c>
      <c r="D134" s="134">
        <v>-3.32</v>
      </c>
      <c r="E134" s="135"/>
      <c r="G134" s="139" t="s">
        <v>223</v>
      </c>
      <c r="H134" s="140">
        <v>375.84</v>
      </c>
      <c r="I134" s="134">
        <v>-2.54</v>
      </c>
      <c r="J134" s="135"/>
      <c r="L134" s="139" t="s">
        <v>223</v>
      </c>
      <c r="M134" s="140">
        <v>233.45</v>
      </c>
      <c r="N134" s="134">
        <v>0.9</v>
      </c>
      <c r="O134" s="135"/>
      <c r="P134" s="131"/>
    </row>
    <row r="135" spans="8:8" ht="9.75" customHeight="1">
      <c r="E135" s="135"/>
      <c r="J135" s="135"/>
      <c r="O135" s="135"/>
      <c r="P135" s="131"/>
    </row>
    <row r="136" spans="8:8" ht="15.0" customHeight="1">
      <c r="E136" s="135"/>
      <c r="J136" s="135"/>
      <c r="L136" s="132" t="s">
        <v>64</v>
      </c>
      <c r="M136" s="137">
        <v>374.74</v>
      </c>
      <c r="N136" s="134">
        <v>-14.4</v>
      </c>
      <c r="O136" s="135"/>
      <c r="P136" s="131"/>
    </row>
    <row r="137" spans="8:8" ht="15.0" customHeight="1">
      <c r="B137" s="150" t="s">
        <v>36</v>
      </c>
      <c r="C137" s="171" t="s">
        <v>37</v>
      </c>
      <c r="D137" s="171"/>
      <c r="E137" s="152"/>
      <c r="G137" s="150" t="s">
        <v>36</v>
      </c>
      <c r="H137" s="172" t="s">
        <v>178</v>
      </c>
      <c r="I137" s="172"/>
      <c r="J137" s="152"/>
      <c r="L137" s="136"/>
      <c r="M137" s="138">
        <v>384.73</v>
      </c>
      <c r="N137" s="134">
        <v>-14.7</v>
      </c>
      <c r="O137" s="135"/>
      <c r="P137" s="131"/>
    </row>
    <row r="138" spans="8:8" ht="15.0" customHeight="1">
      <c r="B138" s="150"/>
      <c r="C138" s="171"/>
      <c r="D138" s="171"/>
      <c r="E138" s="152"/>
      <c r="G138" s="150"/>
      <c r="H138" s="172"/>
      <c r="I138" s="172"/>
      <c r="J138" s="152"/>
      <c r="L138" s="139" t="s">
        <v>223</v>
      </c>
      <c r="M138" s="140">
        <v>394.48</v>
      </c>
      <c r="N138" s="134">
        <v>-15.1</v>
      </c>
      <c r="O138" s="135"/>
      <c r="P138" s="131"/>
    </row>
    <row r="139" spans="8:8" ht="9.75" customHeight="1">
      <c r="B139" s="153"/>
      <c r="C139" s="153"/>
      <c r="D139" s="153"/>
      <c r="E139" s="135"/>
      <c r="G139" s="153"/>
      <c r="H139" s="153"/>
      <c r="I139" s="153"/>
      <c r="J139" s="135"/>
      <c r="O139" s="135"/>
      <c r="P139" s="131"/>
    </row>
    <row r="140" spans="8:8" ht="15.0" customHeight="1">
      <c r="B140" s="132" t="s">
        <v>38</v>
      </c>
      <c r="C140" s="137">
        <v>244.84</v>
      </c>
      <c r="D140" s="134">
        <v>-13.0</v>
      </c>
      <c r="E140" s="135"/>
      <c r="G140" s="132" t="s">
        <v>38</v>
      </c>
      <c r="H140" s="137">
        <v>226.56</v>
      </c>
      <c r="I140" s="134">
        <v>-10.8</v>
      </c>
      <c r="J140" s="135"/>
      <c r="L140" s="132" t="s">
        <v>61</v>
      </c>
      <c r="M140" s="137">
        <v>370.72</v>
      </c>
      <c r="N140" s="134">
        <v>-17.8</v>
      </c>
      <c r="O140" s="135"/>
      <c r="P140" s="131"/>
    </row>
    <row r="141" spans="8:8" ht="15.0" customHeight="1">
      <c r="B141" s="136"/>
      <c r="C141" s="138">
        <v>248.0</v>
      </c>
      <c r="D141" s="134">
        <v>-12.9</v>
      </c>
      <c r="E141" s="135"/>
      <c r="G141" s="136"/>
      <c r="H141" s="138">
        <v>235.81</v>
      </c>
      <c r="I141" s="134">
        <v>-11.0</v>
      </c>
      <c r="J141" s="135"/>
      <c r="L141" s="136"/>
      <c r="M141" s="138">
        <v>373.7</v>
      </c>
      <c r="N141" s="134">
        <v>-17.8</v>
      </c>
      <c r="O141" s="135"/>
      <c r="P141" s="131"/>
    </row>
    <row r="142" spans="8:8" ht="15.0" customHeight="1">
      <c r="B142" s="139" t="s">
        <v>223</v>
      </c>
      <c r="C142" s="141"/>
      <c r="D142" s="142"/>
      <c r="E142" s="135"/>
      <c r="G142" s="139" t="s">
        <v>223</v>
      </c>
      <c r="H142" s="140">
        <v>244.35</v>
      </c>
      <c r="I142" s="134">
        <v>-11.1</v>
      </c>
      <c r="J142" s="135"/>
      <c r="L142" s="139" t="s">
        <v>223</v>
      </c>
      <c r="M142" s="140">
        <v>380.03</v>
      </c>
      <c r="N142" s="134">
        <v>-17.7</v>
      </c>
      <c r="O142" s="135"/>
      <c r="P142" s="131"/>
    </row>
    <row r="143" spans="8:8" ht="9.75" customHeight="1">
      <c r="E143" s="135"/>
      <c r="J143" s="135"/>
      <c r="O143" s="135"/>
      <c r="P143" s="131"/>
    </row>
    <row r="144" spans="8:8" ht="15.0" customHeight="1">
      <c r="B144" s="132" t="s">
        <v>33</v>
      </c>
      <c r="C144" s="137">
        <v>229.8</v>
      </c>
      <c r="D144" s="134">
        <v>7.26</v>
      </c>
      <c r="E144" s="135"/>
      <c r="G144" s="132" t="s">
        <v>33</v>
      </c>
      <c r="H144" s="137">
        <v>240.7</v>
      </c>
      <c r="I144" s="134">
        <v>-13.7</v>
      </c>
      <c r="J144" s="135"/>
      <c r="L144" s="132" t="s">
        <v>39</v>
      </c>
      <c r="M144" s="137">
        <v>241.4</v>
      </c>
      <c r="N144" s="134">
        <v>-15.5</v>
      </c>
      <c r="O144" s="135"/>
      <c r="P144" s="131"/>
    </row>
    <row r="145" spans="8:8" ht="15.0" customHeight="1">
      <c r="B145" s="136"/>
      <c r="C145" s="138">
        <v>238.27</v>
      </c>
      <c r="D145" s="134">
        <v>7.76</v>
      </c>
      <c r="E145" s="135"/>
      <c r="G145" s="136"/>
      <c r="H145" s="138">
        <v>241.28</v>
      </c>
      <c r="I145" s="134">
        <v>-13.7</v>
      </c>
      <c r="J145" s="135"/>
      <c r="L145" s="136"/>
      <c r="M145" s="138">
        <v>248.9</v>
      </c>
      <c r="N145" s="134">
        <v>-15.6</v>
      </c>
      <c r="O145" s="135"/>
      <c r="P145" s="131"/>
    </row>
    <row r="146" spans="8:8" ht="15.0" customHeight="1">
      <c r="B146" s="139" t="s">
        <v>223</v>
      </c>
      <c r="C146" s="141"/>
      <c r="D146" s="142"/>
      <c r="E146" s="135"/>
      <c r="G146" s="139" t="s">
        <v>223</v>
      </c>
      <c r="H146" s="140">
        <v>255.61</v>
      </c>
      <c r="I146" s="134">
        <v>-13.7</v>
      </c>
      <c r="J146" s="135"/>
      <c r="L146" s="139" t="s">
        <v>223</v>
      </c>
      <c r="M146" s="140">
        <v>250.9</v>
      </c>
      <c r="N146" s="134">
        <v>-15.6</v>
      </c>
      <c r="O146" s="135"/>
      <c r="P146" s="131"/>
    </row>
    <row r="147" spans="8:8" ht="9.75" customHeight="1">
      <c r="E147" s="135"/>
      <c r="J147" s="135"/>
      <c r="O147" s="135"/>
      <c r="P147" s="131"/>
    </row>
    <row r="148" spans="8:8" ht="15.0" customHeight="1">
      <c r="B148" s="132" t="s">
        <v>63</v>
      </c>
      <c r="C148" s="137">
        <v>244.9</v>
      </c>
      <c r="D148" s="134">
        <v>-54.3</v>
      </c>
      <c r="E148" s="135"/>
      <c r="G148" s="132" t="s">
        <v>35</v>
      </c>
      <c r="H148" s="137">
        <v>263.91</v>
      </c>
      <c r="I148" s="134">
        <v>-33.6</v>
      </c>
      <c r="J148" s="135"/>
      <c r="L148" s="132" t="s">
        <v>40</v>
      </c>
      <c r="M148" s="137">
        <v>380.3</v>
      </c>
      <c r="N148" s="134">
        <v>-6.08</v>
      </c>
      <c r="O148" s="135"/>
      <c r="P148" s="131"/>
    </row>
    <row r="149" spans="8:8" ht="15.0" customHeight="1">
      <c r="B149" s="136"/>
      <c r="C149" s="138">
        <v>246.7</v>
      </c>
      <c r="D149" s="134">
        <v>-54.6</v>
      </c>
      <c r="E149" s="135"/>
      <c r="G149" s="136"/>
      <c r="H149" s="138">
        <v>279.55</v>
      </c>
      <c r="I149" s="134">
        <v>-34.1</v>
      </c>
      <c r="J149" s="135"/>
      <c r="L149" s="136"/>
      <c r="M149" s="138">
        <v>381.98</v>
      </c>
      <c r="N149" s="134">
        <v>-6.18</v>
      </c>
      <c r="O149" s="135"/>
      <c r="P149" s="131"/>
    </row>
    <row r="150" spans="8:8" ht="15.0" customHeight="1">
      <c r="B150" s="139" t="s">
        <v>223</v>
      </c>
      <c r="C150" s="141"/>
      <c r="D150" s="142"/>
      <c r="E150" s="135"/>
      <c r="G150" s="139" t="s">
        <v>223</v>
      </c>
      <c r="H150" s="140">
        <v>286.67</v>
      </c>
      <c r="I150" s="134">
        <v>-34.6</v>
      </c>
      <c r="J150" s="135"/>
      <c r="L150" s="139" t="s">
        <v>223</v>
      </c>
      <c r="M150" s="140">
        <v>384.02</v>
      </c>
      <c r="N150" s="134">
        <v>-6.18</v>
      </c>
      <c r="O150" s="135"/>
      <c r="P150" s="131"/>
    </row>
    <row r="151" spans="8:8" ht="9.75" customHeight="1">
      <c r="E151" s="135"/>
      <c r="J151" s="135"/>
      <c r="O151" s="135"/>
      <c r="P151" s="131"/>
    </row>
    <row r="152" spans="8:8" ht="15.0" customHeight="1">
      <c r="B152" s="132" t="s">
        <v>34</v>
      </c>
      <c r="C152" s="137">
        <v>327.0</v>
      </c>
      <c r="D152" s="134">
        <v>-36.0</v>
      </c>
      <c r="E152" s="135"/>
      <c r="G152" s="132" t="s">
        <v>40</v>
      </c>
      <c r="H152" s="137">
        <v>175.7</v>
      </c>
      <c r="I152" s="134">
        <v>-15.4</v>
      </c>
      <c r="J152" s="135"/>
      <c r="L152" s="132" t="s">
        <v>62</v>
      </c>
      <c r="M152" s="137">
        <v>353.5</v>
      </c>
      <c r="N152" s="134">
        <v>-1.25</v>
      </c>
      <c r="O152" s="135"/>
      <c r="P152" s="131"/>
    </row>
    <row r="153" spans="8:8" ht="15.0" customHeight="1">
      <c r="B153" s="136"/>
      <c r="C153" s="138">
        <v>332.61</v>
      </c>
      <c r="D153" s="134">
        <v>-36.3</v>
      </c>
      <c r="E153" s="135"/>
      <c r="G153" s="136"/>
      <c r="H153" s="138">
        <v>185.4</v>
      </c>
      <c r="I153" s="134">
        <v>-15.4</v>
      </c>
      <c r="J153" s="135"/>
      <c r="L153" s="136"/>
      <c r="M153" s="138">
        <v>358.35</v>
      </c>
      <c r="N153" s="134">
        <v>-1.08</v>
      </c>
      <c r="O153" s="135"/>
      <c r="P153" s="131"/>
    </row>
    <row r="154" spans="8:8" ht="15.0" customHeight="1">
      <c r="B154" s="139" t="s">
        <v>223</v>
      </c>
      <c r="C154" s="141"/>
      <c r="D154" s="142"/>
      <c r="E154" s="135"/>
      <c r="G154" s="139" t="s">
        <v>223</v>
      </c>
      <c r="H154" s="140">
        <v>190.16</v>
      </c>
      <c r="I154" s="134">
        <v>-15.4</v>
      </c>
      <c r="J154" s="135"/>
      <c r="L154" s="139" t="s">
        <v>223</v>
      </c>
      <c r="M154" s="140">
        <v>364.3</v>
      </c>
      <c r="N154" s="134">
        <v>-1.22</v>
      </c>
      <c r="O154" s="135"/>
      <c r="P154" s="131"/>
    </row>
    <row r="155" spans="8:8" ht="9.75" customHeight="1">
      <c r="E155" s="135"/>
      <c r="J155" s="135"/>
      <c r="O155" s="135"/>
      <c r="P155" s="131"/>
    </row>
    <row r="156" spans="8:8" ht="15.0" customHeight="1">
      <c r="B156" s="132" t="s">
        <v>35</v>
      </c>
      <c r="C156" s="137">
        <v>228.0</v>
      </c>
      <c r="D156" s="134">
        <v>-5.37</v>
      </c>
      <c r="E156" s="135"/>
      <c r="J156" s="135"/>
      <c r="L156" s="132" t="s">
        <v>118</v>
      </c>
      <c r="M156" s="137">
        <v>342.8</v>
      </c>
      <c r="N156" s="134">
        <v>-9.55</v>
      </c>
      <c r="O156" s="135"/>
      <c r="P156" s="131"/>
    </row>
    <row r="157" spans="8:8" ht="15.0" customHeight="1">
      <c r="B157" s="136"/>
      <c r="C157" s="138">
        <v>237.44</v>
      </c>
      <c r="D157" s="134">
        <v>-5.19</v>
      </c>
      <c r="E157" s="135"/>
      <c r="J157" s="135"/>
      <c r="L157" s="136"/>
      <c r="M157" s="138">
        <v>346.4</v>
      </c>
      <c r="N157" s="134">
        <v>-9.45</v>
      </c>
      <c r="O157" s="135"/>
      <c r="P157" s="131"/>
    </row>
    <row r="158" spans="8:8" ht="15.0" customHeight="1">
      <c r="B158" s="139" t="s">
        <v>223</v>
      </c>
      <c r="C158" s="140">
        <v>240.88</v>
      </c>
      <c r="D158" s="134">
        <v>-5.32</v>
      </c>
      <c r="E158" s="135"/>
      <c r="J158" s="135"/>
      <c r="L158" s="139" t="s">
        <v>223</v>
      </c>
      <c r="M158" s="140">
        <v>347.3</v>
      </c>
      <c r="N158" s="134">
        <v>-9.6</v>
      </c>
      <c r="O158" s="135"/>
      <c r="P158" s="131"/>
    </row>
    <row r="159" spans="8:8" ht="9.75" customHeight="1">
      <c r="E159" s="135"/>
      <c r="J159" s="135"/>
      <c r="O159" s="135"/>
      <c r="P159" s="131"/>
    </row>
    <row r="160" spans="8:8" ht="15.0" customHeight="1">
      <c r="B160" s="132" t="s">
        <v>64</v>
      </c>
      <c r="C160" s="137">
        <v>336.1</v>
      </c>
      <c r="D160" s="134">
        <v>-3.31</v>
      </c>
      <c r="E160" s="135"/>
      <c r="J160" s="135"/>
      <c r="O160" s="135"/>
      <c r="P160" s="131"/>
    </row>
    <row r="161" spans="8:8" ht="15.0" customHeight="1">
      <c r="B161" s="136"/>
      <c r="C161" s="138">
        <v>347.05</v>
      </c>
      <c r="D161" s="134">
        <v>-3.64</v>
      </c>
      <c r="E161" s="135"/>
      <c r="J161" s="135"/>
      <c r="O161" s="135"/>
      <c r="P161" s="131"/>
    </row>
    <row r="162" spans="8:8" ht="15.0" customHeight="1">
      <c r="B162" s="139" t="s">
        <v>223</v>
      </c>
      <c r="C162" s="141"/>
      <c r="D162" s="142"/>
      <c r="E162" s="135"/>
      <c r="J162" s="135"/>
      <c r="O162" s="135"/>
      <c r="P162" s="131"/>
    </row>
    <row r="163" spans="8:8" ht="9.75" customHeight="1">
      <c r="E163" s="135"/>
      <c r="J163" s="135"/>
      <c r="O163" s="135"/>
      <c r="P163" s="131"/>
    </row>
    <row r="164" spans="8:8" ht="15.0" customHeight="1">
      <c r="B164" s="132" t="s">
        <v>61</v>
      </c>
      <c r="C164" s="137">
        <v>373.62</v>
      </c>
      <c r="D164" s="134">
        <v>-19.6</v>
      </c>
      <c r="E164" s="135"/>
      <c r="J164" s="135"/>
      <c r="O164" s="135"/>
      <c r="P164" s="131"/>
    </row>
    <row r="165" spans="8:8" ht="15.0" customHeight="1">
      <c r="B165" s="136"/>
      <c r="C165" s="138">
        <v>379.32</v>
      </c>
      <c r="D165" s="134">
        <v>-19.6</v>
      </c>
      <c r="E165" s="135"/>
      <c r="J165" s="135"/>
      <c r="O165" s="135"/>
      <c r="P165" s="131"/>
    </row>
    <row r="166" spans="8:8" ht="15.0" customHeight="1">
      <c r="B166" s="139" t="s">
        <v>223</v>
      </c>
      <c r="C166" s="141"/>
      <c r="D166" s="142"/>
      <c r="E166" s="135"/>
      <c r="J166" s="135"/>
      <c r="O166" s="135"/>
      <c r="P166" s="131"/>
    </row>
    <row r="167" spans="8:8" ht="9.75" customHeight="1">
      <c r="E167" s="135"/>
      <c r="J167" s="135"/>
      <c r="O167" s="135"/>
      <c r="P167" s="131"/>
    </row>
    <row r="168" spans="8:8" ht="15.0" customHeight="1">
      <c r="B168" s="132" t="s">
        <v>39</v>
      </c>
      <c r="C168" s="137">
        <v>294.84</v>
      </c>
      <c r="D168" s="134">
        <v>-19.3</v>
      </c>
      <c r="E168" s="135"/>
      <c r="J168" s="135"/>
      <c r="O168" s="135"/>
      <c r="P168" s="131"/>
    </row>
    <row r="169" spans="8:8" ht="15.0" customHeight="1">
      <c r="B169" s="136"/>
      <c r="C169" s="138">
        <v>302.82</v>
      </c>
      <c r="D169" s="134">
        <v>-19.3</v>
      </c>
      <c r="E169" s="135"/>
      <c r="J169" s="135"/>
      <c r="O169" s="135"/>
      <c r="P169" s="131"/>
    </row>
    <row r="170" spans="8:8" ht="15.0" customHeight="1">
      <c r="B170" s="139" t="s">
        <v>223</v>
      </c>
      <c r="C170" s="141"/>
      <c r="D170" s="142"/>
      <c r="E170" s="135"/>
      <c r="J170" s="135"/>
      <c r="O170" s="135"/>
      <c r="P170" s="131"/>
    </row>
    <row r="171" spans="8:8" ht="9.75" customHeight="1">
      <c r="E171" s="135"/>
      <c r="J171" s="135"/>
      <c r="O171" s="135"/>
      <c r="P171" s="131"/>
    </row>
    <row r="172" spans="8:8" ht="15.0" customHeight="1">
      <c r="B172" s="132" t="s">
        <v>40</v>
      </c>
      <c r="C172" s="137">
        <v>185.11</v>
      </c>
      <c r="D172" s="134">
        <v>6.93</v>
      </c>
      <c r="E172" s="135"/>
      <c r="J172" s="135"/>
      <c r="O172" s="135"/>
      <c r="P172" s="131"/>
    </row>
    <row r="173" spans="8:8" ht="15.0" customHeight="1">
      <c r="B173" s="136"/>
      <c r="C173" s="146" t="s">
        <v>230</v>
      </c>
      <c r="D173" s="134">
        <v>6.76</v>
      </c>
      <c r="E173" s="135"/>
      <c r="J173" s="135"/>
      <c r="O173" s="135"/>
      <c r="P173" s="131"/>
    </row>
    <row r="174" spans="8:8" ht="15.0" customHeight="1">
      <c r="B174" s="139" t="s">
        <v>223</v>
      </c>
      <c r="C174" s="155" t="s">
        <v>229</v>
      </c>
      <c r="D174" s="134">
        <v>6.79</v>
      </c>
      <c r="E174" s="135"/>
      <c r="J174" s="135"/>
      <c r="O174" s="135"/>
      <c r="P174" s="131"/>
    </row>
    <row r="175" spans="8:8" ht="9.75" customHeight="1">
      <c r="E175" s="135"/>
      <c r="J175" s="135"/>
      <c r="O175" s="135"/>
      <c r="P175" s="131"/>
    </row>
    <row r="176" spans="8:8" ht="15.0" customHeight="1">
      <c r="B176" s="132" t="s">
        <v>62</v>
      </c>
      <c r="C176" s="137">
        <v>370.22</v>
      </c>
      <c r="D176" s="134">
        <v>-3.78</v>
      </c>
      <c r="E176" s="135"/>
      <c r="J176" s="135"/>
      <c r="O176" s="135"/>
      <c r="P176" s="131"/>
    </row>
    <row r="177" spans="8:8" ht="15.0" customHeight="1">
      <c r="B177" s="136"/>
      <c r="C177" s="138">
        <v>374.05</v>
      </c>
      <c r="D177" s="134">
        <v>-3.73</v>
      </c>
      <c r="E177" s="135"/>
      <c r="G177" s="157" t="s">
        <v>134</v>
      </c>
      <c r="H177" s="158"/>
      <c r="I177" s="158"/>
      <c r="J177" s="158"/>
      <c r="K177" s="158"/>
      <c r="L177" s="158"/>
      <c r="M177" s="158"/>
      <c r="N177" s="159"/>
      <c r="O177" s="135"/>
      <c r="P177" s="131"/>
    </row>
    <row r="178" spans="8:8" ht="15.0" customHeight="1">
      <c r="B178" s="139" t="s">
        <v>223</v>
      </c>
      <c r="C178" s="140">
        <v>383.65</v>
      </c>
      <c r="D178" s="134">
        <v>-3.74</v>
      </c>
      <c r="E178" s="135"/>
      <c r="G178" s="160"/>
      <c r="H178" s="161"/>
      <c r="I178" s="161"/>
      <c r="J178" s="161"/>
      <c r="K178" s="161"/>
      <c r="L178" s="161"/>
      <c r="M178" s="161"/>
      <c r="N178" s="162"/>
      <c r="O178" s="135"/>
      <c r="P178" s="131"/>
    </row>
    <row r="179" spans="8:8" ht="9.75" customHeight="1">
      <c r="E179" s="135"/>
      <c r="J179" s="135"/>
      <c r="O179" s="135"/>
      <c r="P179" s="163"/>
    </row>
    <row r="180" spans="8:8" ht="15.0" customHeight="1">
      <c r="A180" s="164"/>
      <c r="B180" s="165"/>
      <c r="C180" s="165"/>
      <c r="D180" s="165"/>
      <c r="E180" s="165"/>
      <c r="F180" s="165"/>
      <c r="G180" s="165"/>
      <c r="H180" s="165"/>
      <c r="I180" s="165"/>
      <c r="J180" s="165"/>
      <c r="K180" s="165"/>
      <c r="L180" s="165"/>
      <c r="M180" s="165"/>
      <c r="N180" s="165"/>
      <c r="O180" s="166"/>
      <c r="P180" s="167"/>
    </row>
    <row r="181" spans="8:8" ht="9.75" customHeight="1">
      <c r="P181" s="131"/>
    </row>
    <row r="182" spans="8:8" ht="15.0" customHeight="1">
      <c r="B182" s="126" t="s">
        <v>181</v>
      </c>
      <c r="C182" s="173" t="s">
        <v>182</v>
      </c>
      <c r="D182" s="173"/>
      <c r="E182" s="128"/>
      <c r="G182" s="126" t="s">
        <v>181</v>
      </c>
      <c r="H182" s="130" t="s">
        <v>183</v>
      </c>
      <c r="I182" s="130"/>
      <c r="J182" s="128"/>
      <c r="O182" s="152"/>
      <c r="P182" s="131"/>
    </row>
    <row r="183" spans="8:8" ht="15.0" customHeight="1">
      <c r="B183" s="126"/>
      <c r="C183" s="173"/>
      <c r="D183" s="173"/>
      <c r="E183" s="128"/>
      <c r="G183" s="126"/>
      <c r="H183" s="130"/>
      <c r="I183" s="130"/>
      <c r="J183" s="128"/>
      <c r="O183" s="152"/>
      <c r="P183" s="131"/>
    </row>
    <row r="184" spans="8:8" ht="15.0" customHeight="1">
      <c r="B184" s="132" t="s">
        <v>38</v>
      </c>
      <c r="C184" s="137">
        <v>291.51</v>
      </c>
      <c r="D184" s="134">
        <v>-7.2</v>
      </c>
      <c r="E184" s="135"/>
      <c r="G184" s="132" t="s">
        <v>38</v>
      </c>
      <c r="H184" s="137">
        <v>213.31</v>
      </c>
      <c r="I184" s="134">
        <v>-3.48</v>
      </c>
      <c r="J184" s="135"/>
      <c r="O184" s="135"/>
      <c r="P184" s="131"/>
    </row>
    <row r="185" spans="8:8" ht="15.0" customHeight="1">
      <c r="B185" s="136"/>
      <c r="C185" s="146">
        <v>299.36</v>
      </c>
      <c r="D185" s="134">
        <v>-7.21</v>
      </c>
      <c r="E185" s="135"/>
      <c r="G185" s="136"/>
      <c r="H185" s="146">
        <v>227.83</v>
      </c>
      <c r="I185" s="134">
        <v>-2.99</v>
      </c>
      <c r="J185" s="135"/>
      <c r="O185" s="135"/>
      <c r="P185" s="131"/>
    </row>
    <row r="186" spans="8:8" ht="15.0" customHeight="1">
      <c r="B186" s="139" t="s">
        <v>223</v>
      </c>
      <c r="C186" s="155">
        <v>299.24</v>
      </c>
      <c r="D186" s="134">
        <v>-7.53</v>
      </c>
      <c r="E186" s="135"/>
      <c r="G186" s="174" t="s">
        <v>223</v>
      </c>
      <c r="H186" s="155">
        <v>235.75</v>
      </c>
      <c r="I186" s="134">
        <v>-2.96</v>
      </c>
      <c r="J186" s="135"/>
      <c r="O186" s="135"/>
      <c r="P186" s="131"/>
    </row>
    <row r="187" spans="8:8" ht="9.75" customHeight="1">
      <c r="E187" s="135"/>
      <c r="J187" s="135"/>
      <c r="O187" s="135"/>
      <c r="P187" s="131"/>
    </row>
    <row r="188" spans="8:8" ht="15.0" customHeight="1">
      <c r="B188" s="132" t="s">
        <v>63</v>
      </c>
      <c r="C188" s="137">
        <v>231.21</v>
      </c>
      <c r="D188" s="134">
        <v>-15.0</v>
      </c>
      <c r="E188" s="143">
        <v>0.75</v>
      </c>
      <c r="G188" s="132" t="s">
        <v>65</v>
      </c>
      <c r="H188" s="137">
        <v>378.74</v>
      </c>
      <c r="I188" s="134">
        <v>-0.28</v>
      </c>
      <c r="J188" s="135"/>
      <c r="O188" s="135"/>
      <c r="P188" s="131"/>
    </row>
    <row r="189" spans="8:8" ht="15.0" customHeight="1">
      <c r="B189" s="136"/>
      <c r="C189" s="138">
        <v>239.91</v>
      </c>
      <c r="D189" s="134">
        <v>-14.5</v>
      </c>
      <c r="E189" s="143">
        <v>0.7</v>
      </c>
      <c r="G189" s="136"/>
      <c r="H189" s="138">
        <v>391.72</v>
      </c>
      <c r="I189" s="134">
        <v>-0.06</v>
      </c>
      <c r="J189" s="135"/>
      <c r="O189" s="135"/>
      <c r="P189" s="131"/>
    </row>
    <row r="190" spans="8:8" ht="15.0" customHeight="1">
      <c r="B190" s="144" t="s">
        <v>228</v>
      </c>
      <c r="C190" s="140">
        <v>244.67</v>
      </c>
      <c r="D190" s="134">
        <v>-14.4</v>
      </c>
      <c r="E190" s="143">
        <v>0.75</v>
      </c>
      <c r="G190" s="139" t="s">
        <v>223</v>
      </c>
      <c r="H190" s="140">
        <v>398.29</v>
      </c>
      <c r="I190" s="134">
        <v>-0.32</v>
      </c>
      <c r="J190" s="135"/>
      <c r="O190" s="135"/>
      <c r="P190" s="131"/>
    </row>
    <row r="191" spans="8:8" ht="9.75" customHeight="1">
      <c r="E191" s="135"/>
      <c r="J191" s="135"/>
      <c r="O191" s="135"/>
      <c r="P191" s="131"/>
    </row>
    <row r="192" spans="8:8" ht="15.0" customHeight="1">
      <c r="B192" s="132" t="s">
        <v>35</v>
      </c>
      <c r="C192" s="137">
        <v>384.2</v>
      </c>
      <c r="D192" s="134">
        <v>6.49</v>
      </c>
      <c r="E192" s="135"/>
      <c r="G192" s="132" t="s">
        <v>43</v>
      </c>
      <c r="H192" s="137">
        <v>375.93</v>
      </c>
      <c r="I192" s="134">
        <v>-2.94</v>
      </c>
      <c r="J192" s="135"/>
      <c r="O192" s="135"/>
      <c r="P192" s="131"/>
    </row>
    <row r="193" spans="8:8" ht="15.0" customHeight="1">
      <c r="B193" s="136"/>
      <c r="C193" s="146">
        <v>387.2</v>
      </c>
      <c r="D193" s="134">
        <v>6.14</v>
      </c>
      <c r="E193" s="135"/>
      <c r="G193" s="136"/>
      <c r="H193" s="146">
        <v>379.04</v>
      </c>
      <c r="I193" s="134">
        <v>-2.85</v>
      </c>
      <c r="J193" s="135"/>
      <c r="O193" s="135"/>
      <c r="P193" s="131"/>
    </row>
    <row r="194" spans="8:8" ht="15.0" customHeight="1">
      <c r="B194" s="139" t="s">
        <v>223</v>
      </c>
      <c r="C194" s="155">
        <v>398.31</v>
      </c>
      <c r="D194" s="134">
        <v>6.12</v>
      </c>
      <c r="E194" s="135"/>
      <c r="G194" s="139" t="s">
        <v>223</v>
      </c>
      <c r="H194" s="155">
        <v>392.34</v>
      </c>
      <c r="I194" s="134">
        <v>-2.32</v>
      </c>
      <c r="J194" s="135"/>
      <c r="O194" s="135"/>
      <c r="P194" s="131"/>
    </row>
    <row r="195" spans="8:8" ht="9.75" customHeight="1">
      <c r="E195" s="135"/>
      <c r="J195" s="135"/>
      <c r="O195" s="135"/>
      <c r="P195" s="131"/>
    </row>
    <row r="196" spans="8:8" ht="15.0" customHeight="1">
      <c r="B196" s="132" t="s">
        <v>64</v>
      </c>
      <c r="C196" s="137">
        <v>223.87</v>
      </c>
      <c r="D196" s="134">
        <v>-13.9</v>
      </c>
      <c r="G196" s="132" t="s">
        <v>33</v>
      </c>
      <c r="H196" s="137">
        <v>234.51</v>
      </c>
      <c r="I196" s="134">
        <v>-3.16</v>
      </c>
      <c r="P196" s="131"/>
    </row>
    <row r="197" spans="8:8" ht="15.0" customHeight="1">
      <c r="B197" s="136"/>
      <c r="C197" s="138">
        <v>227.37</v>
      </c>
      <c r="D197" s="134">
        <v>-13.8</v>
      </c>
      <c r="G197" s="136"/>
      <c r="H197" s="138">
        <v>238.59</v>
      </c>
      <c r="I197" s="134">
        <v>-3.56</v>
      </c>
      <c r="P197" s="131"/>
    </row>
    <row r="198" spans="8:8" ht="15.0" customHeight="1">
      <c r="B198" s="139" t="s">
        <v>223</v>
      </c>
      <c r="C198" s="140">
        <v>235.72</v>
      </c>
      <c r="D198" s="134">
        <v>-13.9</v>
      </c>
      <c r="G198" s="139" t="s">
        <v>223</v>
      </c>
      <c r="H198" s="140">
        <v>242.58</v>
      </c>
      <c r="I198" s="134">
        <v>-3.28</v>
      </c>
      <c r="P198" s="131"/>
    </row>
    <row r="199" spans="8:8" ht="9.75" customHeight="1">
      <c r="P199" s="131"/>
    </row>
    <row r="200" spans="8:8" ht="15.0" customHeight="1">
      <c r="B200" s="132" t="s">
        <v>61</v>
      </c>
      <c r="C200" s="137">
        <v>353.66</v>
      </c>
      <c r="D200" s="134">
        <v>-17.4</v>
      </c>
      <c r="G200" s="132" t="s">
        <v>45</v>
      </c>
      <c r="H200" s="137">
        <v>382.9</v>
      </c>
      <c r="I200" s="134">
        <v>0.33</v>
      </c>
      <c r="P200" s="131"/>
    </row>
    <row r="201" spans="8:8" ht="15.0" customHeight="1">
      <c r="B201" s="136"/>
      <c r="C201" s="146">
        <v>371.91</v>
      </c>
      <c r="D201" s="134">
        <v>-17.6</v>
      </c>
      <c r="G201" s="136"/>
      <c r="H201" s="146">
        <v>395.43</v>
      </c>
      <c r="I201" s="134">
        <v>0.27</v>
      </c>
      <c r="P201" s="131"/>
    </row>
    <row r="202" spans="8:8" ht="15.0" customHeight="1">
      <c r="B202" s="139" t="s">
        <v>223</v>
      </c>
      <c r="C202" s="155">
        <v>383.61</v>
      </c>
      <c r="D202" s="134">
        <v>-17.7</v>
      </c>
      <c r="G202" s="139" t="s">
        <v>223</v>
      </c>
      <c r="H202" s="155">
        <v>401.2</v>
      </c>
      <c r="I202" s="134">
        <v>0.05</v>
      </c>
      <c r="P202" s="131"/>
    </row>
    <row r="203" spans="8:8" ht="9.75" customHeight="1">
      <c r="P203" s="131"/>
    </row>
    <row r="204" spans="8:8" ht="15.0" customHeight="1">
      <c r="B204" s="132" t="s">
        <v>40</v>
      </c>
      <c r="C204" s="137">
        <v>248.44</v>
      </c>
      <c r="D204" s="134">
        <v>-5.63</v>
      </c>
      <c r="G204" s="132" t="s">
        <v>35</v>
      </c>
      <c r="H204" s="137">
        <v>292.15</v>
      </c>
      <c r="I204" s="134">
        <v>-2.95</v>
      </c>
      <c r="P204" s="131"/>
    </row>
    <row r="205" spans="8:8" ht="15.0" customHeight="1">
      <c r="B205" s="136"/>
      <c r="C205" s="138">
        <v>255.2</v>
      </c>
      <c r="D205" s="134">
        <v>-5.62</v>
      </c>
      <c r="G205" s="136"/>
      <c r="H205" s="138">
        <v>307.15</v>
      </c>
      <c r="I205" s="134">
        <v>-2.17</v>
      </c>
      <c r="P205" s="131"/>
    </row>
    <row r="206" spans="8:8" ht="15.0" customHeight="1">
      <c r="B206" s="139" t="s">
        <v>223</v>
      </c>
      <c r="C206" s="140">
        <v>261.74</v>
      </c>
      <c r="D206" s="134">
        <v>-5.59</v>
      </c>
      <c r="G206" s="139" t="s">
        <v>223</v>
      </c>
      <c r="H206" s="140">
        <v>310.38</v>
      </c>
      <c r="I206" s="134">
        <v>-1.78</v>
      </c>
      <c r="P206" s="131"/>
    </row>
    <row r="207" spans="8:8" ht="9.75" customHeight="1">
      <c r="P207" s="131"/>
    </row>
    <row r="208" spans="8:8" ht="15.0" customHeight="1">
      <c r="B208" s="132" t="s">
        <v>118</v>
      </c>
      <c r="C208" s="137">
        <v>385.15</v>
      </c>
      <c r="D208" s="134">
        <v>-8.07</v>
      </c>
      <c r="G208" s="132" t="s">
        <v>46</v>
      </c>
      <c r="H208" s="137">
        <v>363.82</v>
      </c>
      <c r="I208" s="134">
        <v>-6.39</v>
      </c>
      <c r="P208" s="131"/>
    </row>
    <row r="209" spans="8:8" ht="15.0" customHeight="1">
      <c r="B209" s="136"/>
      <c r="C209" s="146">
        <v>395.1</v>
      </c>
      <c r="D209" s="134">
        <v>-8.22</v>
      </c>
      <c r="G209" s="136"/>
      <c r="H209" s="146">
        <v>370.61</v>
      </c>
      <c r="I209" s="134">
        <v>-6.17</v>
      </c>
      <c r="P209" s="131"/>
    </row>
    <row r="210" spans="8:8" ht="15.0" customHeight="1">
      <c r="B210" s="139" t="s">
        <v>223</v>
      </c>
      <c r="C210" s="155">
        <v>401.97</v>
      </c>
      <c r="D210" s="134">
        <v>-8.24</v>
      </c>
      <c r="G210" s="139" t="s">
        <v>223</v>
      </c>
      <c r="H210" s="155">
        <v>389.75</v>
      </c>
      <c r="I210" s="134">
        <v>-6.45</v>
      </c>
      <c r="P210" s="131"/>
    </row>
    <row r="211" spans="8:8" ht="9.75" customHeight="1">
      <c r="P211" s="131"/>
    </row>
    <row r="212" spans="8:8" ht="15.0" customHeight="1">
      <c r="G212" s="132" t="s">
        <v>39</v>
      </c>
      <c r="H212" s="137">
        <v>271.84</v>
      </c>
      <c r="I212" s="134">
        <v>-0.06</v>
      </c>
      <c r="P212" s="131"/>
    </row>
    <row r="213" spans="8:8" ht="15.0" customHeight="1">
      <c r="B213" s="126" t="s">
        <v>181</v>
      </c>
      <c r="C213" s="175" t="s">
        <v>184</v>
      </c>
      <c r="D213" s="175"/>
      <c r="E213" s="128"/>
      <c r="G213" s="136"/>
      <c r="H213" s="146">
        <v>283.21</v>
      </c>
      <c r="I213" s="134">
        <v>-0.13</v>
      </c>
      <c r="P213" s="131"/>
    </row>
    <row r="214" spans="8:8" ht="15.0" customHeight="1">
      <c r="B214" s="126"/>
      <c r="C214" s="175"/>
      <c r="D214" s="175"/>
      <c r="E214" s="128"/>
      <c r="G214" s="139" t="s">
        <v>223</v>
      </c>
      <c r="H214" s="155">
        <v>286.46</v>
      </c>
      <c r="I214" s="134">
        <v>-0.03</v>
      </c>
      <c r="P214" s="131"/>
    </row>
    <row r="215" spans="8:8" ht="9.75" customHeight="1">
      <c r="B215" s="153"/>
      <c r="C215" s="153"/>
      <c r="D215" s="153"/>
      <c r="E215" s="135"/>
      <c r="P215" s="131"/>
    </row>
    <row r="216" spans="8:8" ht="15.0" customHeight="1">
      <c r="B216" s="132" t="s">
        <v>117</v>
      </c>
      <c r="C216" s="137">
        <v>377.24</v>
      </c>
      <c r="D216" s="134">
        <v>-1.11</v>
      </c>
      <c r="E216" s="135"/>
      <c r="G216" s="132" t="s">
        <v>40</v>
      </c>
      <c r="H216" s="137">
        <v>227.3</v>
      </c>
      <c r="I216" s="134">
        <v>-5.85</v>
      </c>
      <c r="P216" s="131"/>
    </row>
    <row r="217" spans="8:8" ht="15.0" customHeight="1">
      <c r="B217" s="136"/>
      <c r="C217" s="138">
        <v>384.53</v>
      </c>
      <c r="D217" s="134">
        <v>-1.44</v>
      </c>
      <c r="E217" s="135"/>
      <c r="G217" s="136"/>
      <c r="H217" s="138">
        <v>236.12</v>
      </c>
      <c r="I217" s="134">
        <v>-5.53</v>
      </c>
      <c r="P217" s="131"/>
    </row>
    <row r="218" spans="8:8" ht="15.0" customHeight="1">
      <c r="B218" s="139" t="s">
        <v>223</v>
      </c>
      <c r="C218" s="140">
        <v>401.45</v>
      </c>
      <c r="D218" s="134">
        <v>-1.35</v>
      </c>
      <c r="E218" s="135"/>
      <c r="G218" s="139" t="s">
        <v>223</v>
      </c>
      <c r="H218" s="140">
        <v>245.64</v>
      </c>
      <c r="I218" s="134">
        <v>-5.21</v>
      </c>
      <c r="P218" s="131"/>
    </row>
    <row r="219" spans="8:8" ht="9.75" customHeight="1">
      <c r="E219" s="135"/>
      <c r="P219" s="131"/>
    </row>
    <row r="220" spans="8:8" ht="15.0" customHeight="1">
      <c r="B220" s="132" t="s">
        <v>38</v>
      </c>
      <c r="C220" s="137">
        <v>228.26</v>
      </c>
      <c r="D220" s="134">
        <v>3.01</v>
      </c>
      <c r="E220" s="135"/>
      <c r="G220" s="132" t="s">
        <v>62</v>
      </c>
      <c r="H220" s="137">
        <v>403.16</v>
      </c>
      <c r="I220" s="134">
        <v>-24.1</v>
      </c>
      <c r="P220" s="131"/>
    </row>
    <row r="221" spans="8:8" ht="15.0" customHeight="1">
      <c r="B221" s="136"/>
      <c r="C221" s="146">
        <v>231.38</v>
      </c>
      <c r="D221" s="134">
        <v>3.49</v>
      </c>
      <c r="E221" s="135"/>
      <c r="G221" s="136"/>
      <c r="H221" s="146">
        <v>442.33</v>
      </c>
      <c r="I221" s="134">
        <v>-25.2</v>
      </c>
      <c r="P221" s="131"/>
    </row>
    <row r="222" spans="8:8" ht="15.0" customHeight="1">
      <c r="B222" s="139" t="s">
        <v>223</v>
      </c>
      <c r="C222" s="155">
        <v>241.9</v>
      </c>
      <c r="D222" s="134">
        <v>3.32</v>
      </c>
      <c r="E222" s="135"/>
      <c r="G222" s="139" t="s">
        <v>223</v>
      </c>
      <c r="H222" s="155">
        <v>453.1</v>
      </c>
      <c r="I222" s="134">
        <v>-25.2</v>
      </c>
      <c r="P222" s="131"/>
    </row>
    <row r="223" spans="8:8" ht="9.75" customHeight="1">
      <c r="E223" s="135"/>
      <c r="P223" s="131"/>
    </row>
    <row r="224" spans="8:8" ht="15.0" customHeight="1">
      <c r="B224" s="132" t="s">
        <v>65</v>
      </c>
      <c r="C224" s="137">
        <v>375.03</v>
      </c>
      <c r="D224" s="134">
        <v>4.57</v>
      </c>
      <c r="E224" s="135"/>
      <c r="P224" s="131"/>
    </row>
    <row r="225" spans="8:8" ht="15.0" customHeight="1">
      <c r="B225" s="136"/>
      <c r="C225" s="138">
        <v>385.74</v>
      </c>
      <c r="D225" s="134">
        <v>4.68</v>
      </c>
      <c r="E225" s="135"/>
      <c r="G225" s="126" t="s">
        <v>181</v>
      </c>
      <c r="H225" s="176" t="s">
        <v>185</v>
      </c>
      <c r="I225" s="176"/>
      <c r="J225" s="152"/>
      <c r="P225" s="131"/>
    </row>
    <row r="226" spans="8:8" ht="15.0" customHeight="1">
      <c r="B226" s="139" t="s">
        <v>223</v>
      </c>
      <c r="C226" s="140">
        <v>393.65</v>
      </c>
      <c r="D226" s="134">
        <v>4.73</v>
      </c>
      <c r="E226" s="135"/>
      <c r="G226" s="126"/>
      <c r="H226" s="176"/>
      <c r="I226" s="176"/>
      <c r="J226" s="152"/>
      <c r="P226" s="131"/>
    </row>
    <row r="227" spans="8:8" ht="9.75" customHeight="1">
      <c r="E227" s="135"/>
      <c r="G227" s="153"/>
      <c r="H227" s="153"/>
      <c r="I227" s="153"/>
      <c r="J227" s="135"/>
      <c r="P227" s="131"/>
    </row>
    <row r="228" spans="8:8" ht="15.0" customHeight="1">
      <c r="B228" s="132" t="s">
        <v>33</v>
      </c>
      <c r="C228" s="137">
        <v>206.75</v>
      </c>
      <c r="D228" s="134">
        <v>5.47</v>
      </c>
      <c r="E228" s="135"/>
      <c r="G228" s="132" t="s">
        <v>117</v>
      </c>
      <c r="H228" s="137">
        <v>396.21</v>
      </c>
      <c r="I228" s="134">
        <v>-14.0</v>
      </c>
      <c r="J228" s="135"/>
      <c r="P228" s="131"/>
    </row>
    <row r="229" spans="8:8" ht="15.0" customHeight="1">
      <c r="B229" s="136"/>
      <c r="C229" s="146">
        <v>209.96</v>
      </c>
      <c r="D229" s="134">
        <v>5.8</v>
      </c>
      <c r="E229" s="135"/>
      <c r="G229" s="136"/>
      <c r="H229" s="138">
        <v>406.47</v>
      </c>
      <c r="I229" s="134">
        <v>-13.8</v>
      </c>
      <c r="J229" s="135"/>
      <c r="P229" s="131"/>
    </row>
    <row r="230" spans="8:8" ht="15.0" customHeight="1">
      <c r="B230" s="139" t="s">
        <v>223</v>
      </c>
      <c r="C230" s="155">
        <v>221.41</v>
      </c>
      <c r="D230" s="134">
        <v>6.09</v>
      </c>
      <c r="E230" s="135"/>
      <c r="G230" s="139" t="s">
        <v>223</v>
      </c>
      <c r="H230" s="140">
        <v>419.4</v>
      </c>
      <c r="I230" s="134">
        <v>-13.5</v>
      </c>
      <c r="J230" s="135"/>
      <c r="P230" s="131"/>
    </row>
    <row r="231" spans="8:8" ht="9.75" customHeight="1">
      <c r="E231" s="135"/>
      <c r="J231" s="135"/>
      <c r="P231" s="131"/>
    </row>
    <row r="232" spans="8:8" ht="15.0" customHeight="1">
      <c r="B232" s="132" t="s">
        <v>35</v>
      </c>
      <c r="C232" s="145" t="s">
        <v>237</v>
      </c>
      <c r="D232" s="134">
        <v>5.82</v>
      </c>
      <c r="E232" s="135"/>
      <c r="G232" s="132" t="s">
        <v>38</v>
      </c>
      <c r="H232" s="137">
        <v>167.7</v>
      </c>
      <c r="I232" s="134">
        <v>-5.7</v>
      </c>
      <c r="J232" s="135"/>
      <c r="P232" s="131"/>
    </row>
    <row r="233" spans="8:8" ht="15.0" customHeight="1">
      <c r="B233" s="136"/>
      <c r="C233" s="146" t="s">
        <v>238</v>
      </c>
      <c r="D233" s="134">
        <v>5.24</v>
      </c>
      <c r="E233" s="135"/>
      <c r="G233" s="136"/>
      <c r="H233" s="146">
        <v>167.89</v>
      </c>
      <c r="I233" s="134">
        <v>-5.58</v>
      </c>
      <c r="J233" s="135"/>
      <c r="P233" s="131"/>
    </row>
    <row r="234" spans="8:8" ht="15.0" customHeight="1">
      <c r="B234" s="139" t="s">
        <v>223</v>
      </c>
      <c r="C234" s="155">
        <v>236.11</v>
      </c>
      <c r="D234" s="134">
        <v>5.8</v>
      </c>
      <c r="E234" s="135"/>
      <c r="G234" s="139" t="s">
        <v>223</v>
      </c>
      <c r="H234" s="155">
        <v>180.53</v>
      </c>
      <c r="I234" s="134">
        <v>-5.68</v>
      </c>
      <c r="J234" s="135"/>
      <c r="P234" s="131"/>
    </row>
    <row r="235" spans="8:8" ht="9.75" customHeight="1">
      <c r="E235" s="135"/>
      <c r="J235" s="135"/>
      <c r="P235" s="131"/>
    </row>
    <row r="236" spans="8:8" ht="15.0" customHeight="1">
      <c r="B236" s="132" t="s">
        <v>60</v>
      </c>
      <c r="C236" s="137">
        <v>268.3</v>
      </c>
      <c r="D236" s="134">
        <v>0.06</v>
      </c>
      <c r="E236" s="135"/>
      <c r="G236" s="132" t="s">
        <v>45</v>
      </c>
      <c r="H236" s="137">
        <v>230.61</v>
      </c>
      <c r="I236" s="134">
        <v>-14.2</v>
      </c>
      <c r="J236" s="135"/>
      <c r="P236" s="131"/>
    </row>
    <row r="237" spans="8:8" ht="15.0" customHeight="1">
      <c r="B237" s="136"/>
      <c r="C237" s="138">
        <v>268.95</v>
      </c>
      <c r="D237" s="134">
        <v>0.05</v>
      </c>
      <c r="E237" s="135"/>
      <c r="G237" s="136"/>
      <c r="H237" s="146" t="s">
        <v>235</v>
      </c>
      <c r="I237" s="134">
        <v>-14.2</v>
      </c>
      <c r="J237" s="135"/>
      <c r="P237" s="131"/>
    </row>
    <row r="238" spans="8:8" ht="15.0" customHeight="1">
      <c r="B238" s="139" t="s">
        <v>223</v>
      </c>
      <c r="C238" s="140">
        <v>279.53</v>
      </c>
      <c r="D238" s="134">
        <v>0.04</v>
      </c>
      <c r="E238" s="135"/>
      <c r="G238" s="139" t="s">
        <v>223</v>
      </c>
      <c r="H238" s="155" t="s">
        <v>236</v>
      </c>
      <c r="I238" s="134">
        <v>-14.3</v>
      </c>
      <c r="J238" s="135"/>
      <c r="P238" s="131"/>
    </row>
    <row r="239" spans="8:8" ht="9.75" customHeight="1">
      <c r="E239" s="135"/>
      <c r="J239" s="135"/>
      <c r="P239" s="131"/>
    </row>
    <row r="240" spans="8:8" ht="15.0" customHeight="1">
      <c r="B240" s="132" t="s">
        <v>64</v>
      </c>
      <c r="C240" s="137">
        <v>384.8</v>
      </c>
      <c r="D240" s="134">
        <v>-1.89</v>
      </c>
      <c r="E240" s="135"/>
      <c r="G240" s="132" t="s">
        <v>46</v>
      </c>
      <c r="H240" s="137">
        <v>382.9</v>
      </c>
      <c r="I240" s="134">
        <v>-4.19</v>
      </c>
      <c r="J240" s="135"/>
      <c r="P240" s="131"/>
    </row>
    <row r="241" spans="8:8" ht="15.0" customHeight="1">
      <c r="B241" s="136"/>
      <c r="C241" s="146">
        <v>394.9</v>
      </c>
      <c r="D241" s="134">
        <v>-1.84</v>
      </c>
      <c r="E241" s="135"/>
      <c r="G241" s="136"/>
      <c r="H241" s="138">
        <v>391.73</v>
      </c>
      <c r="I241" s="134">
        <v>-4.28</v>
      </c>
      <c r="J241" s="135"/>
      <c r="P241" s="131"/>
    </row>
    <row r="242" spans="8:8" ht="15.0" customHeight="1">
      <c r="B242" s="139" t="s">
        <v>223</v>
      </c>
      <c r="C242" s="155">
        <v>396.27</v>
      </c>
      <c r="D242" s="134">
        <v>-2.16</v>
      </c>
      <c r="E242" s="135"/>
      <c r="G242" s="139" t="s">
        <v>223</v>
      </c>
      <c r="H242" s="140">
        <v>395.76</v>
      </c>
      <c r="I242" s="134">
        <v>-4.26</v>
      </c>
      <c r="J242" s="135"/>
      <c r="P242" s="131"/>
    </row>
    <row r="243" spans="8:8" ht="9.75" customHeight="1">
      <c r="E243" s="135"/>
      <c r="J243" s="135"/>
      <c r="P243" s="131"/>
    </row>
    <row r="244" spans="8:8" ht="15.0" customHeight="1">
      <c r="B244" s="132" t="s">
        <v>61</v>
      </c>
      <c r="C244" s="137">
        <v>369.5</v>
      </c>
      <c r="D244" s="134">
        <v>3.83</v>
      </c>
      <c r="E244" s="135"/>
      <c r="G244" s="132" t="s">
        <v>60</v>
      </c>
      <c r="H244" s="137">
        <v>190.72</v>
      </c>
      <c r="I244" s="134">
        <v>8.63</v>
      </c>
      <c r="J244" s="143">
        <v>0.75</v>
      </c>
      <c r="P244" s="131"/>
    </row>
    <row r="245" spans="8:8" ht="15.0" customHeight="1">
      <c r="B245" s="136"/>
      <c r="C245" s="138">
        <v>383.82</v>
      </c>
      <c r="D245" s="134">
        <v>4.51</v>
      </c>
      <c r="E245" s="135"/>
      <c r="G245" s="136"/>
      <c r="H245" s="146">
        <v>197.7</v>
      </c>
      <c r="I245" s="134">
        <v>8.29</v>
      </c>
      <c r="J245" s="143">
        <v>0.75</v>
      </c>
      <c r="P245" s="131"/>
    </row>
    <row r="246" spans="8:8" ht="15.0" customHeight="1">
      <c r="B246" s="139" t="s">
        <v>223</v>
      </c>
      <c r="C246" s="140">
        <v>394.78</v>
      </c>
      <c r="D246" s="134">
        <v>4.69</v>
      </c>
      <c r="E246" s="135"/>
      <c r="G246" s="144" t="s">
        <v>228</v>
      </c>
      <c r="H246" s="155">
        <v>201.25</v>
      </c>
      <c r="I246" s="134">
        <v>8.3</v>
      </c>
      <c r="J246" s="143">
        <v>0.8</v>
      </c>
      <c r="P246" s="131"/>
    </row>
    <row r="247" spans="8:8" ht="9.75" customHeight="1">
      <c r="E247" s="135"/>
      <c r="J247" s="135"/>
      <c r="P247" s="131"/>
    </row>
    <row r="248" spans="8:8" ht="15.0" customHeight="1">
      <c r="B248" s="132" t="s">
        <v>40</v>
      </c>
      <c r="C248" s="137">
        <v>265.25</v>
      </c>
      <c r="D248" s="134">
        <v>2.21</v>
      </c>
      <c r="E248" s="135"/>
      <c r="G248" s="132" t="s">
        <v>64</v>
      </c>
      <c r="H248" s="145" t="s">
        <v>233</v>
      </c>
      <c r="I248" s="134">
        <v>-3.04</v>
      </c>
      <c r="J248" s="135"/>
      <c r="P248" s="131"/>
    </row>
    <row r="249" spans="8:8" ht="15.0" customHeight="1">
      <c r="B249" s="136"/>
      <c r="C249" s="146">
        <v>268.28</v>
      </c>
      <c r="D249" s="134">
        <v>2.38</v>
      </c>
      <c r="E249" s="135"/>
      <c r="G249" s="136"/>
      <c r="H249" s="146" t="s">
        <v>234</v>
      </c>
      <c r="I249" s="134">
        <v>-3.24</v>
      </c>
      <c r="J249" s="135"/>
      <c r="P249" s="131"/>
    </row>
    <row r="250" spans="8:8" ht="15.0" customHeight="1">
      <c r="B250" s="139" t="s">
        <v>223</v>
      </c>
      <c r="C250" s="155">
        <v>285.13</v>
      </c>
      <c r="D250" s="134">
        <v>2.71</v>
      </c>
      <c r="E250" s="135"/>
      <c r="G250" s="139" t="s">
        <v>223</v>
      </c>
      <c r="H250" s="155">
        <v>393.48</v>
      </c>
      <c r="I250" s="134">
        <v>-3.12</v>
      </c>
      <c r="J250" s="135"/>
      <c r="P250" s="131"/>
    </row>
    <row r="251" spans="8:8" ht="9.75" customHeight="1">
      <c r="E251" s="135"/>
      <c r="J251" s="135"/>
      <c r="P251" s="131"/>
    </row>
    <row r="252" spans="8:8" ht="15.0" customHeight="1">
      <c r="E252" s="135"/>
      <c r="G252" s="132" t="s">
        <v>40</v>
      </c>
      <c r="H252" s="137">
        <v>164.63</v>
      </c>
      <c r="I252" s="134">
        <v>-3.58</v>
      </c>
      <c r="J252" s="143">
        <v>0.5</v>
      </c>
      <c r="P252" s="131"/>
    </row>
    <row r="253" spans="8:8" ht="15.0" customHeight="1">
      <c r="E253" s="135"/>
      <c r="G253" s="136"/>
      <c r="H253" s="138">
        <v>168.94</v>
      </c>
      <c r="I253" s="134">
        <v>-3.61</v>
      </c>
      <c r="J253" s="143">
        <v>0.5</v>
      </c>
      <c r="P253" s="131"/>
    </row>
    <row r="254" spans="8:8" ht="15.0" customHeight="1">
      <c r="E254" s="135"/>
      <c r="G254" s="144" t="s">
        <v>228</v>
      </c>
      <c r="H254" s="140">
        <v>178.25</v>
      </c>
      <c r="I254" s="134">
        <v>-3.53</v>
      </c>
      <c r="J254" s="143">
        <v>0.5</v>
      </c>
      <c r="P254" s="131"/>
    </row>
    <row r="255" spans="8:8" ht="9.75" customHeight="1">
      <c r="E255" s="135"/>
      <c r="J255" s="135"/>
      <c r="P255" s="131"/>
    </row>
    <row r="256" spans="8:8" ht="15.0" customHeight="1">
      <c r="G256" s="132" t="s">
        <v>118</v>
      </c>
      <c r="H256" s="137">
        <v>357.2</v>
      </c>
      <c r="I256" s="134">
        <v>-22.2</v>
      </c>
      <c r="J256" s="135"/>
      <c r="P256" s="131"/>
    </row>
    <row r="257" spans="8:8" ht="15.0" customHeight="1">
      <c r="G257" s="136"/>
      <c r="H257" s="146">
        <v>366.18</v>
      </c>
      <c r="I257" s="134">
        <v>-22.3</v>
      </c>
      <c r="J257" s="135"/>
      <c r="P257" s="131"/>
    </row>
    <row r="258" spans="8:8" ht="15.0" customHeight="1">
      <c r="G258" s="139" t="s">
        <v>223</v>
      </c>
      <c r="H258" s="155">
        <v>388.6</v>
      </c>
      <c r="I258" s="134">
        <v>-22.6</v>
      </c>
      <c r="J258" s="135"/>
      <c r="P258" s="131"/>
    </row>
    <row r="259" spans="8:8" ht="9.75" customHeight="1">
      <c r="E259" s="135"/>
      <c r="P259" s="131"/>
    </row>
    <row r="260" spans="8:8" ht="15.0" customHeight="1">
      <c r="A260" s="164"/>
      <c r="B260" s="165"/>
      <c r="C260" s="165"/>
      <c r="D260" s="165"/>
      <c r="E260" s="165"/>
      <c r="F260" s="165"/>
      <c r="G260" s="165"/>
      <c r="H260" s="165"/>
      <c r="I260" s="165"/>
      <c r="J260" s="165"/>
      <c r="K260" s="165"/>
      <c r="L260" s="165"/>
      <c r="M260" s="165"/>
      <c r="N260" s="165"/>
      <c r="O260" s="166"/>
      <c r="P260" s="167"/>
    </row>
    <row r="261" spans="8:8" ht="9.75" customHeight="1">
      <c r="P261" s="131"/>
    </row>
    <row r="262" spans="8:8" ht="15.0" customHeight="1">
      <c r="B262" s="126" t="s">
        <v>41</v>
      </c>
      <c r="C262" s="175" t="s">
        <v>42</v>
      </c>
      <c r="D262" s="175"/>
      <c r="E262" s="152"/>
      <c r="F262" s="177"/>
      <c r="G262" s="126" t="s">
        <v>41</v>
      </c>
      <c r="H262" s="151" t="s">
        <v>82</v>
      </c>
      <c r="I262" s="151"/>
      <c r="J262" s="152"/>
      <c r="K262" s="177"/>
      <c r="L262" s="126" t="s">
        <v>41</v>
      </c>
      <c r="M262" s="129" t="s">
        <v>186</v>
      </c>
      <c r="N262" s="129"/>
      <c r="O262" s="152"/>
      <c r="P262" s="131"/>
    </row>
    <row r="263" spans="8:8" ht="15.0" customHeight="1">
      <c r="B263" s="126"/>
      <c r="C263" s="175"/>
      <c r="D263" s="175"/>
      <c r="E263" s="152"/>
      <c r="F263" s="177"/>
      <c r="G263" s="126"/>
      <c r="H263" s="151"/>
      <c r="I263" s="151"/>
      <c r="J263" s="152"/>
      <c r="K263" s="177"/>
      <c r="L263" s="126"/>
      <c r="M263" s="129"/>
      <c r="N263" s="129"/>
      <c r="O263" s="152"/>
      <c r="P263" s="131"/>
    </row>
    <row r="264" spans="8:8" ht="15.0" customHeight="1">
      <c r="B264" s="132" t="s">
        <v>117</v>
      </c>
      <c r="C264" s="137">
        <v>359.46</v>
      </c>
      <c r="D264" s="134">
        <v>-1.53</v>
      </c>
      <c r="E264" s="135"/>
      <c r="G264" s="132" t="s">
        <v>38</v>
      </c>
      <c r="H264" s="137">
        <v>229.48</v>
      </c>
      <c r="I264" s="134">
        <v>-7.92</v>
      </c>
      <c r="J264" s="143"/>
      <c r="L264" s="132" t="s">
        <v>65</v>
      </c>
      <c r="M264" s="137">
        <v>222.92</v>
      </c>
      <c r="N264" s="134">
        <v>-8.67</v>
      </c>
      <c r="O264" s="152"/>
      <c r="P264" s="131"/>
    </row>
    <row r="265" spans="8:8" ht="15.0" customHeight="1">
      <c r="B265" s="136"/>
      <c r="C265" s="146">
        <v>370.8</v>
      </c>
      <c r="D265" s="134">
        <v>-1.01</v>
      </c>
      <c r="E265" s="135"/>
      <c r="G265" s="136"/>
      <c r="H265" s="146">
        <v>241.36</v>
      </c>
      <c r="I265" s="134">
        <v>-7.98</v>
      </c>
      <c r="J265" s="143"/>
      <c r="L265" s="136"/>
      <c r="M265" s="146">
        <v>238.44</v>
      </c>
      <c r="N265" s="134">
        <v>-8.74</v>
      </c>
      <c r="O265" s="152"/>
      <c r="P265" s="131"/>
    </row>
    <row r="266" spans="8:8" ht="15.0" customHeight="1">
      <c r="B266" s="139" t="s">
        <v>223</v>
      </c>
      <c r="C266" s="155">
        <v>373.9</v>
      </c>
      <c r="D266" s="134">
        <v>-1.2</v>
      </c>
      <c r="E266" s="135"/>
      <c r="G266" s="144" t="s">
        <v>349</v>
      </c>
      <c r="H266" s="155">
        <v>242.6</v>
      </c>
      <c r="I266" s="134">
        <v>-8.2</v>
      </c>
      <c r="J266" s="143"/>
      <c r="L266" s="139" t="s">
        <v>223</v>
      </c>
      <c r="M266" s="155">
        <v>243.35</v>
      </c>
      <c r="N266" s="134">
        <v>-8.61</v>
      </c>
      <c r="O266" s="152"/>
      <c r="P266" s="131"/>
    </row>
    <row r="267" spans="8:8" ht="9.75" customHeight="1">
      <c r="E267" s="135"/>
      <c r="J267" s="135"/>
      <c r="O267" s="152"/>
      <c r="P267" s="131"/>
    </row>
    <row r="268" spans="8:8" ht="15.0" customHeight="1">
      <c r="B268" s="132" t="s">
        <v>38</v>
      </c>
      <c r="C268" s="145">
        <v>260.81</v>
      </c>
      <c r="D268" s="134">
        <v>-10.6</v>
      </c>
      <c r="E268" s="135"/>
      <c r="G268" s="132" t="s">
        <v>43</v>
      </c>
      <c r="H268" s="145">
        <v>376.76</v>
      </c>
      <c r="I268" s="134">
        <v>-27.1</v>
      </c>
      <c r="J268" s="135"/>
      <c r="L268" s="132" t="s">
        <v>43</v>
      </c>
      <c r="M268" s="145">
        <v>222.43</v>
      </c>
      <c r="N268" s="134">
        <v>-0.45</v>
      </c>
      <c r="O268" s="152"/>
      <c r="P268" s="131"/>
    </row>
    <row r="269" spans="8:8" ht="15.0" customHeight="1">
      <c r="B269" s="136"/>
      <c r="C269" s="146">
        <v>263.23</v>
      </c>
      <c r="D269" s="134">
        <v>-10.9</v>
      </c>
      <c r="E269" s="135"/>
      <c r="G269" s="136"/>
      <c r="H269" s="146">
        <v>389.89</v>
      </c>
      <c r="I269" s="134">
        <v>-27.1</v>
      </c>
      <c r="J269" s="135"/>
      <c r="L269" s="136"/>
      <c r="M269" s="146">
        <v>236.68</v>
      </c>
      <c r="N269" s="134">
        <v>-0.32</v>
      </c>
      <c r="O269" s="152"/>
      <c r="P269" s="131"/>
    </row>
    <row r="270" spans="8:8" ht="15.0" customHeight="1">
      <c r="B270" s="139" t="s">
        <v>223</v>
      </c>
      <c r="C270" s="155">
        <v>272.75</v>
      </c>
      <c r="D270" s="134">
        <v>-10.9</v>
      </c>
      <c r="E270" s="135"/>
      <c r="G270" s="139" t="s">
        <v>223</v>
      </c>
      <c r="H270" s="155">
        <v>394.8</v>
      </c>
      <c r="I270" s="134">
        <v>-27.1</v>
      </c>
      <c r="J270" s="135"/>
      <c r="L270" s="139" t="s">
        <v>223</v>
      </c>
      <c r="M270" s="155">
        <v>244.43</v>
      </c>
      <c r="N270" s="134">
        <v>-0.51</v>
      </c>
      <c r="O270" s="152"/>
      <c r="P270" s="131"/>
    </row>
    <row r="271" spans="8:8" ht="9.75" customHeight="1">
      <c r="E271" s="135"/>
      <c r="J271" s="135"/>
      <c r="O271" s="152"/>
      <c r="P271" s="131"/>
    </row>
    <row r="272" spans="8:8" ht="15.0" customHeight="1">
      <c r="B272" s="132" t="s">
        <v>33</v>
      </c>
      <c r="C272" s="137">
        <v>237.2</v>
      </c>
      <c r="D272" s="134">
        <v>-4.89</v>
      </c>
      <c r="E272" s="135"/>
      <c r="G272" s="132" t="s">
        <v>34</v>
      </c>
      <c r="H272" s="137">
        <v>304.9</v>
      </c>
      <c r="I272" s="134">
        <v>-21.6</v>
      </c>
      <c r="J272" s="135"/>
      <c r="L272" s="132" t="s">
        <v>63</v>
      </c>
      <c r="M272" s="137">
        <v>404.63</v>
      </c>
      <c r="N272" s="134">
        <v>-6.67</v>
      </c>
      <c r="O272" s="152"/>
      <c r="P272" s="131"/>
    </row>
    <row r="273" spans="8:8" ht="15.0" customHeight="1">
      <c r="B273" s="136"/>
      <c r="C273" s="138">
        <v>237.95</v>
      </c>
      <c r="D273" s="134">
        <v>-4.81</v>
      </c>
      <c r="E273" s="135"/>
      <c r="G273" s="136"/>
      <c r="H273" s="138">
        <v>314.9</v>
      </c>
      <c r="I273" s="134">
        <v>-21.6</v>
      </c>
      <c r="J273" s="135"/>
      <c r="L273" s="136"/>
      <c r="M273" s="138">
        <v>414.62</v>
      </c>
      <c r="N273" s="134">
        <v>-6.36</v>
      </c>
      <c r="O273" s="152"/>
      <c r="P273" s="131"/>
    </row>
    <row r="274" spans="8:8" ht="15.0" customHeight="1">
      <c r="B274" s="139" t="s">
        <v>223</v>
      </c>
      <c r="C274" s="140">
        <v>241.04</v>
      </c>
      <c r="D274" s="134">
        <v>-4.83</v>
      </c>
      <c r="E274" s="135"/>
      <c r="G274" s="139" t="s">
        <v>223</v>
      </c>
      <c r="H274" s="140">
        <v>334.5</v>
      </c>
      <c r="I274" s="134">
        <v>-21.6</v>
      </c>
      <c r="J274" s="135"/>
      <c r="L274" s="139" t="s">
        <v>223</v>
      </c>
      <c r="M274" s="140">
        <v>423.6</v>
      </c>
      <c r="N274" s="134">
        <v>-6.36</v>
      </c>
      <c r="O274" s="152"/>
      <c r="P274" s="131"/>
    </row>
    <row r="275" spans="8:8" ht="9.75" customHeight="1">
      <c r="E275" s="135"/>
      <c r="J275" s="135"/>
      <c r="O275" s="152"/>
      <c r="P275" s="131"/>
    </row>
    <row r="276" spans="8:8" ht="15.0" customHeight="1">
      <c r="B276" s="132" t="s">
        <v>34</v>
      </c>
      <c r="C276" s="137">
        <v>326.9</v>
      </c>
      <c r="D276" s="134">
        <v>2.76</v>
      </c>
      <c r="E276" s="135"/>
      <c r="G276" s="132" t="s">
        <v>45</v>
      </c>
      <c r="H276" s="137">
        <v>221.36</v>
      </c>
      <c r="I276" s="134">
        <v>-1.12</v>
      </c>
      <c r="J276" s="135"/>
      <c r="L276" s="132" t="s">
        <v>45</v>
      </c>
      <c r="M276" s="137">
        <v>216.28</v>
      </c>
      <c r="N276" s="134">
        <v>-1.5</v>
      </c>
      <c r="O276" s="152"/>
      <c r="P276" s="131"/>
    </row>
    <row r="277" spans="8:8" ht="15.0" customHeight="1">
      <c r="B277" s="136"/>
      <c r="C277" s="146">
        <v>334.8</v>
      </c>
      <c r="D277" s="134">
        <v>3.04</v>
      </c>
      <c r="E277" s="135"/>
      <c r="G277" s="136"/>
      <c r="H277" s="146">
        <v>234.45</v>
      </c>
      <c r="I277" s="134">
        <v>-1.16</v>
      </c>
      <c r="J277" s="135"/>
      <c r="L277" s="136"/>
      <c r="M277" s="146">
        <v>224.7</v>
      </c>
      <c r="N277" s="134">
        <v>-1.24</v>
      </c>
      <c r="O277" s="152"/>
      <c r="P277" s="131"/>
    </row>
    <row r="278" spans="8:8" ht="15.0" customHeight="1">
      <c r="B278" s="139" t="s">
        <v>223</v>
      </c>
      <c r="C278" s="155">
        <v>339.6</v>
      </c>
      <c r="D278" s="134">
        <v>2.97</v>
      </c>
      <c r="E278" s="135"/>
      <c r="G278" s="139" t="s">
        <v>223</v>
      </c>
      <c r="H278" s="155">
        <v>234.83</v>
      </c>
      <c r="I278" s="134">
        <v>-1.29</v>
      </c>
      <c r="J278" s="135"/>
      <c r="L278" s="139" t="s">
        <v>223</v>
      </c>
      <c r="M278" s="155">
        <v>239.43</v>
      </c>
      <c r="N278" s="134">
        <v>-1.17</v>
      </c>
      <c r="O278" s="152"/>
      <c r="P278" s="131"/>
    </row>
    <row r="279" spans="8:8" ht="9.75" customHeight="1">
      <c r="E279" s="135"/>
      <c r="J279" s="135"/>
      <c r="O279" s="152"/>
      <c r="P279" s="131"/>
    </row>
    <row r="280" spans="8:8" ht="15.0" customHeight="1">
      <c r="B280" s="132" t="s">
        <v>60</v>
      </c>
      <c r="C280" s="137">
        <v>273.01</v>
      </c>
      <c r="D280" s="134">
        <v>-2.58</v>
      </c>
      <c r="E280" s="135"/>
      <c r="G280" s="132" t="s">
        <v>46</v>
      </c>
      <c r="H280" s="137">
        <v>262.8</v>
      </c>
      <c r="I280" s="134">
        <v>-11.6</v>
      </c>
      <c r="J280" s="135"/>
      <c r="L280" s="132" t="s">
        <v>64</v>
      </c>
      <c r="M280" s="137">
        <v>213.13</v>
      </c>
      <c r="N280" s="134">
        <v>-6.12</v>
      </c>
      <c r="O280" s="152"/>
      <c r="P280" s="131"/>
    </row>
    <row r="281" spans="8:8" ht="15.0" customHeight="1">
      <c r="B281" s="136"/>
      <c r="C281" s="138">
        <v>279.61</v>
      </c>
      <c r="D281" s="134">
        <v>-2.48</v>
      </c>
      <c r="E281" s="135"/>
      <c r="G281" s="136"/>
      <c r="H281" s="138">
        <v>273.16</v>
      </c>
      <c r="I281" s="134">
        <v>-11.5</v>
      </c>
      <c r="J281" s="135"/>
      <c r="L281" s="136"/>
      <c r="M281" s="146">
        <v>220.47</v>
      </c>
      <c r="N281" s="134">
        <v>-6.2</v>
      </c>
      <c r="O281" s="152"/>
      <c r="P281" s="131"/>
    </row>
    <row r="282" spans="8:8" ht="15.0" customHeight="1">
      <c r="B282" s="139" t="s">
        <v>223</v>
      </c>
      <c r="C282" s="140">
        <v>288.78</v>
      </c>
      <c r="D282" s="134">
        <v>-2.41</v>
      </c>
      <c r="E282" s="135"/>
      <c r="G282" s="139" t="s">
        <v>223</v>
      </c>
      <c r="H282" s="140">
        <v>290.4</v>
      </c>
      <c r="I282" s="134">
        <v>-11.6</v>
      </c>
      <c r="J282" s="135"/>
      <c r="L282" s="139" t="s">
        <v>223</v>
      </c>
      <c r="M282" s="155">
        <v>225.33</v>
      </c>
      <c r="N282" s="134">
        <v>-6.42</v>
      </c>
      <c r="O282" s="152"/>
      <c r="P282" s="131"/>
    </row>
    <row r="283" spans="8:8" ht="9.75" customHeight="1">
      <c r="E283" s="135"/>
      <c r="J283" s="135"/>
      <c r="O283" s="152"/>
      <c r="P283" s="131"/>
    </row>
    <row r="284" spans="8:8" ht="15.0" customHeight="1">
      <c r="B284" s="132" t="s">
        <v>40</v>
      </c>
      <c r="C284" s="137">
        <v>259.69</v>
      </c>
      <c r="D284" s="134">
        <v>-6.71</v>
      </c>
      <c r="E284" s="135"/>
      <c r="G284" s="132" t="s">
        <v>60</v>
      </c>
      <c r="H284" s="137">
        <v>167.68</v>
      </c>
      <c r="I284" s="134">
        <v>-4.01</v>
      </c>
      <c r="J284" s="143"/>
      <c r="L284" s="132" t="s">
        <v>39</v>
      </c>
      <c r="M284" s="137">
        <v>385.4</v>
      </c>
      <c r="N284" s="134">
        <v>-11.2</v>
      </c>
      <c r="O284" s="152"/>
      <c r="P284" s="131"/>
    </row>
    <row r="285" spans="8:8" ht="15.0" customHeight="1">
      <c r="B285" s="136"/>
      <c r="C285" s="146">
        <v>270.81</v>
      </c>
      <c r="D285" s="134">
        <v>-6.52</v>
      </c>
      <c r="E285" s="135"/>
      <c r="G285" s="136"/>
      <c r="H285" s="146">
        <v>168.78</v>
      </c>
      <c r="I285" s="134">
        <v>-4.01</v>
      </c>
      <c r="J285" s="143">
        <v>67.62</v>
      </c>
      <c r="L285" s="136"/>
      <c r="M285" s="146"/>
      <c r="N285" s="134"/>
      <c r="O285" s="152"/>
      <c r="P285" s="131"/>
    </row>
    <row r="286" spans="8:8" ht="15.0" customHeight="1">
      <c r="B286" s="139" t="s">
        <v>223</v>
      </c>
      <c r="C286" s="155">
        <v>275.42</v>
      </c>
      <c r="D286" s="134">
        <v>-6.76</v>
      </c>
      <c r="E286" s="135"/>
      <c r="G286" s="144" t="s">
        <v>349</v>
      </c>
      <c r="H286" s="155">
        <v>179.46</v>
      </c>
      <c r="I286" s="134">
        <v>-4.0</v>
      </c>
      <c r="J286" s="143">
        <v>71.08</v>
      </c>
      <c r="L286" s="139" t="s">
        <v>223</v>
      </c>
      <c r="M286" s="155"/>
      <c r="N286" s="134"/>
      <c r="O286" s="152"/>
      <c r="P286" s="131"/>
    </row>
    <row r="287" spans="8:8" ht="9.75" customHeight="1">
      <c r="E287" s="135"/>
      <c r="J287" s="135"/>
      <c r="O287" s="152"/>
      <c r="P287" s="131"/>
    </row>
    <row r="288" spans="8:8" ht="15.0" customHeight="1">
      <c r="B288" s="132" t="s">
        <v>118</v>
      </c>
      <c r="C288" s="137">
        <v>404.03</v>
      </c>
      <c r="D288" s="134">
        <v>-2.86</v>
      </c>
      <c r="E288" s="135"/>
      <c r="G288" s="132" t="s">
        <v>40</v>
      </c>
      <c r="H288" s="145" t="s">
        <v>241</v>
      </c>
      <c r="I288" s="134">
        <v>-18.0</v>
      </c>
      <c r="J288" s="135"/>
      <c r="L288" s="132" t="s">
        <v>62</v>
      </c>
      <c r="M288" s="137">
        <v>257.65</v>
      </c>
      <c r="N288" s="134">
        <v>-6.77</v>
      </c>
      <c r="O288" s="152"/>
      <c r="P288" s="131"/>
    </row>
    <row r="289" spans="8:8" ht="15.0" customHeight="1">
      <c r="B289" s="136"/>
      <c r="C289" s="146" t="s">
        <v>239</v>
      </c>
      <c r="D289" s="134">
        <v>-2.87</v>
      </c>
      <c r="E289" s="135"/>
      <c r="G289" s="136"/>
      <c r="H289" s="146" t="s">
        <v>242</v>
      </c>
      <c r="I289" s="134">
        <v>-18.0</v>
      </c>
      <c r="J289" s="135"/>
      <c r="L289" s="136"/>
      <c r="M289" s="146">
        <v>260.73</v>
      </c>
      <c r="N289" s="134">
        <v>-6.9</v>
      </c>
      <c r="O289" s="152"/>
      <c r="P289" s="131"/>
    </row>
    <row r="290" spans="8:8" ht="15.0" customHeight="1">
      <c r="B290" s="139" t="s">
        <v>223</v>
      </c>
      <c r="C290" s="155" t="s">
        <v>240</v>
      </c>
      <c r="D290" s="134">
        <v>-2.85</v>
      </c>
      <c r="E290" s="135"/>
      <c r="F290" s="178"/>
      <c r="G290" s="139" t="s">
        <v>223</v>
      </c>
      <c r="H290" s="155">
        <v>222.53</v>
      </c>
      <c r="I290" s="134">
        <v>-18.0</v>
      </c>
      <c r="J290" s="135"/>
      <c r="L290" s="139" t="s">
        <v>223</v>
      </c>
      <c r="M290" s="155">
        <v>272.48</v>
      </c>
      <c r="N290" s="134">
        <v>-7.04</v>
      </c>
      <c r="O290" s="152"/>
      <c r="P290" s="131"/>
    </row>
    <row r="291" spans="8:8" ht="9.75" customHeight="1">
      <c r="E291" s="135"/>
      <c r="J291" s="135"/>
      <c r="O291" s="152"/>
      <c r="P291" s="131"/>
    </row>
    <row r="292" spans="8:8" ht="15.0" customHeight="1">
      <c r="A292" s="164"/>
      <c r="B292" s="165"/>
      <c r="C292" s="165"/>
      <c r="D292" s="165"/>
      <c r="E292" s="165"/>
      <c r="F292" s="165"/>
      <c r="G292" s="165"/>
      <c r="H292" s="165"/>
      <c r="I292" s="165"/>
      <c r="J292" s="165"/>
      <c r="K292" s="165"/>
      <c r="L292" s="165"/>
      <c r="M292" s="165"/>
      <c r="N292" s="165"/>
      <c r="O292" s="166"/>
      <c r="P292" s="167"/>
    </row>
    <row r="293" spans="8:8" ht="9.75" customHeight="1">
      <c r="P293" s="131"/>
    </row>
    <row r="294" spans="8:8" ht="15.0" customHeight="1">
      <c r="B294" s="179" t="s">
        <v>187</v>
      </c>
      <c r="C294" s="151" t="s">
        <v>188</v>
      </c>
      <c r="D294" s="151"/>
      <c r="E294" s="152"/>
      <c r="G294" s="179" t="s">
        <v>187</v>
      </c>
      <c r="H294" s="129" t="s">
        <v>189</v>
      </c>
      <c r="I294" s="129"/>
      <c r="J294" s="152"/>
      <c r="P294" s="131"/>
    </row>
    <row r="295" spans="8:8" ht="15.0" customHeight="1">
      <c r="B295" s="179"/>
      <c r="C295" s="151"/>
      <c r="D295" s="151"/>
      <c r="E295" s="152"/>
      <c r="G295" s="179"/>
      <c r="H295" s="129"/>
      <c r="I295" s="129"/>
      <c r="J295" s="152"/>
      <c r="P295" s="131"/>
    </row>
    <row r="296" spans="8:8" ht="15.0" customHeight="1">
      <c r="B296" s="132" t="s">
        <v>117</v>
      </c>
      <c r="C296" s="137">
        <v>359.46</v>
      </c>
      <c r="D296" s="134">
        <v>-1.65</v>
      </c>
      <c r="E296" s="135"/>
      <c r="G296" s="132" t="s">
        <v>38</v>
      </c>
      <c r="H296" s="137">
        <v>303.07</v>
      </c>
      <c r="I296" s="134">
        <v>-7.67</v>
      </c>
      <c r="J296" s="135"/>
      <c r="P296" s="131"/>
    </row>
    <row r="297" spans="8:8" ht="15.0" customHeight="1">
      <c r="B297" s="136"/>
      <c r="C297" s="146">
        <v>370.8</v>
      </c>
      <c r="D297" s="134">
        <v>-1.39</v>
      </c>
      <c r="E297" s="135"/>
      <c r="G297" s="136"/>
      <c r="H297" s="146">
        <v>311.76</v>
      </c>
      <c r="I297" s="134">
        <v>-8.28</v>
      </c>
      <c r="J297" s="135"/>
      <c r="P297" s="131"/>
    </row>
    <row r="298" spans="8:8" ht="15.0" customHeight="1">
      <c r="B298" s="139" t="s">
        <v>223</v>
      </c>
      <c r="C298" s="155">
        <v>373.9</v>
      </c>
      <c r="D298" s="134">
        <v>-1.53</v>
      </c>
      <c r="E298" s="135"/>
      <c r="G298" s="139" t="s">
        <v>223</v>
      </c>
      <c r="H298" s="155">
        <v>319.69</v>
      </c>
      <c r="I298" s="134">
        <v>-7.68</v>
      </c>
      <c r="J298" s="135"/>
      <c r="P298" s="131"/>
    </row>
    <row r="299" spans="8:8" ht="9.75" customHeight="1">
      <c r="E299" s="135"/>
      <c r="J299" s="135"/>
      <c r="P299" s="131"/>
    </row>
    <row r="300" spans="8:8" ht="15.0" customHeight="1">
      <c r="B300" s="132" t="s">
        <v>38</v>
      </c>
      <c r="C300" s="145">
        <v>260.81</v>
      </c>
      <c r="D300" s="134">
        <v>-11.3</v>
      </c>
      <c r="E300" s="135"/>
      <c r="G300" s="132" t="s">
        <v>63</v>
      </c>
      <c r="H300" s="145">
        <v>244.47</v>
      </c>
      <c r="I300" s="134">
        <v>-15.5</v>
      </c>
      <c r="J300" s="143">
        <v>0.7</v>
      </c>
      <c r="P300" s="131"/>
    </row>
    <row r="301" spans="8:8" ht="15.0" customHeight="1">
      <c r="B301" s="136"/>
      <c r="C301" s="146">
        <v>263.23</v>
      </c>
      <c r="D301" s="134">
        <v>-11.5</v>
      </c>
      <c r="E301" s="135"/>
      <c r="G301" s="136"/>
      <c r="H301" s="146">
        <v>256.13</v>
      </c>
      <c r="I301" s="134">
        <v>-15.1</v>
      </c>
      <c r="J301" s="143">
        <v>0.72</v>
      </c>
      <c r="P301" s="131"/>
    </row>
    <row r="302" spans="8:8" ht="15.0" customHeight="1">
      <c r="B302" s="139" t="s">
        <v>223</v>
      </c>
      <c r="C302" s="155">
        <v>272.75</v>
      </c>
      <c r="D302" s="134">
        <v>-11.4</v>
      </c>
      <c r="E302" s="135"/>
      <c r="G302" s="144" t="s">
        <v>228</v>
      </c>
      <c r="H302" s="155">
        <v>257.88</v>
      </c>
      <c r="I302" s="134">
        <v>-14.9</v>
      </c>
      <c r="J302" s="143">
        <v>0.72</v>
      </c>
      <c r="P302" s="131"/>
    </row>
    <row r="303" spans="8:8" ht="9.75" customHeight="1">
      <c r="E303" s="135"/>
      <c r="J303" s="135"/>
      <c r="P303" s="131"/>
    </row>
    <row r="304" spans="8:8" ht="15.0" customHeight="1">
      <c r="B304" s="132" t="s">
        <v>33</v>
      </c>
      <c r="C304" s="137">
        <v>237.2</v>
      </c>
      <c r="D304" s="134">
        <v>-4.71</v>
      </c>
      <c r="E304" s="135"/>
      <c r="G304" s="132" t="s">
        <v>64</v>
      </c>
      <c r="H304" s="137">
        <v>239.51</v>
      </c>
      <c r="I304" s="134">
        <v>-14.8</v>
      </c>
      <c r="J304" s="135"/>
      <c r="P304" s="131"/>
    </row>
    <row r="305" spans="8:8" ht="15.0" customHeight="1">
      <c r="B305" s="136"/>
      <c r="C305" s="138">
        <v>237.95</v>
      </c>
      <c r="D305" s="134">
        <v>-4.68</v>
      </c>
      <c r="E305" s="135"/>
      <c r="G305" s="136"/>
      <c r="H305" s="138">
        <v>240.73</v>
      </c>
      <c r="I305" s="134">
        <v>-14.5</v>
      </c>
      <c r="J305" s="135"/>
      <c r="P305" s="131"/>
    </row>
    <row r="306" spans="8:8" ht="15.0" customHeight="1">
      <c r="B306" s="139" t="s">
        <v>223</v>
      </c>
      <c r="C306" s="140">
        <v>241.04</v>
      </c>
      <c r="D306" s="134">
        <v>-4.6</v>
      </c>
      <c r="E306" s="135"/>
      <c r="G306" s="139" t="s">
        <v>223</v>
      </c>
      <c r="H306" s="140">
        <v>251.37</v>
      </c>
      <c r="I306" s="134">
        <v>-14.8</v>
      </c>
      <c r="J306" s="135"/>
      <c r="P306" s="131"/>
    </row>
    <row r="307" spans="8:8" ht="9.75" customHeight="1">
      <c r="E307" s="135"/>
      <c r="J307" s="135"/>
      <c r="P307" s="131"/>
    </row>
    <row r="308" spans="8:8" ht="15.0" customHeight="1">
      <c r="B308" s="132" t="s">
        <v>34</v>
      </c>
      <c r="C308" s="137">
        <v>326.9</v>
      </c>
      <c r="D308" s="134">
        <v>2.15</v>
      </c>
      <c r="E308" s="135"/>
      <c r="G308" s="132" t="s">
        <v>61</v>
      </c>
      <c r="H308" s="137">
        <v>349.57</v>
      </c>
      <c r="I308" s="134">
        <v>-18.2</v>
      </c>
      <c r="J308" s="135"/>
      <c r="P308" s="131"/>
    </row>
    <row r="309" spans="8:8" ht="15.0" customHeight="1">
      <c r="B309" s="136"/>
      <c r="C309" s="146">
        <v>334.8</v>
      </c>
      <c r="D309" s="134">
        <v>2.37</v>
      </c>
      <c r="E309" s="135"/>
      <c r="G309" s="136"/>
      <c r="H309" s="146">
        <v>396.63</v>
      </c>
      <c r="I309" s="134">
        <v>-18.3</v>
      </c>
      <c r="J309" s="135"/>
      <c r="P309" s="131"/>
    </row>
    <row r="310" spans="8:8" ht="15.0" customHeight="1">
      <c r="B310" s="139" t="s">
        <v>223</v>
      </c>
      <c r="C310" s="155">
        <v>339.6</v>
      </c>
      <c r="D310" s="134">
        <v>2.4</v>
      </c>
      <c r="E310" s="135"/>
      <c r="G310" s="139" t="s">
        <v>223</v>
      </c>
      <c r="H310" s="155">
        <v>401.93</v>
      </c>
      <c r="I310" s="134">
        <v>-18.2</v>
      </c>
      <c r="J310" s="135"/>
      <c r="P310" s="131"/>
    </row>
    <row r="311" spans="8:8" ht="9.75" customHeight="1">
      <c r="E311" s="135"/>
      <c r="J311" s="135"/>
      <c r="P311" s="131"/>
    </row>
    <row r="312" spans="8:8" ht="15.0" customHeight="1">
      <c r="B312" s="132" t="s">
        <v>60</v>
      </c>
      <c r="C312" s="137">
        <v>273.01</v>
      </c>
      <c r="D312" s="134">
        <v>-2.98</v>
      </c>
      <c r="E312" s="135"/>
      <c r="G312" s="132" t="s">
        <v>40</v>
      </c>
      <c r="H312" s="137">
        <v>252.77</v>
      </c>
      <c r="I312" s="134">
        <v>-6.44</v>
      </c>
      <c r="J312" s="135"/>
      <c r="P312" s="131"/>
    </row>
    <row r="313" spans="8:8" ht="15.0" customHeight="1">
      <c r="B313" s="136"/>
      <c r="C313" s="138">
        <v>279.61</v>
      </c>
      <c r="D313" s="134">
        <v>-2.86</v>
      </c>
      <c r="E313" s="135"/>
      <c r="G313" s="136"/>
      <c r="H313" s="138">
        <v>264.37</v>
      </c>
      <c r="I313" s="134">
        <v>-6.46</v>
      </c>
      <c r="J313" s="135"/>
      <c r="P313" s="131"/>
    </row>
    <row r="314" spans="8:8" ht="15.0" customHeight="1">
      <c r="B314" s="139" t="s">
        <v>223</v>
      </c>
      <c r="C314" s="140">
        <v>288.78</v>
      </c>
      <c r="D314" s="134">
        <v>-2.63</v>
      </c>
      <c r="E314" s="135"/>
      <c r="G314" s="139" t="s">
        <v>223</v>
      </c>
      <c r="H314" s="140">
        <v>269.97</v>
      </c>
      <c r="I314" s="134">
        <v>-6.39</v>
      </c>
      <c r="J314" s="135"/>
      <c r="P314" s="131"/>
    </row>
    <row r="315" spans="8:8" ht="9.75" customHeight="1">
      <c r="E315" s="135"/>
      <c r="J315" s="135"/>
      <c r="P315" s="131"/>
    </row>
    <row r="316" spans="8:8" ht="15.0" customHeight="1">
      <c r="B316" s="132" t="s">
        <v>40</v>
      </c>
      <c r="C316" s="137">
        <v>259.69</v>
      </c>
      <c r="D316" s="134">
        <v>-7.34</v>
      </c>
      <c r="E316" s="135"/>
      <c r="G316" s="132" t="s">
        <v>118</v>
      </c>
      <c r="H316" s="137">
        <v>393.02</v>
      </c>
      <c r="I316" s="134">
        <v>-8.65</v>
      </c>
      <c r="P316" s="131"/>
    </row>
    <row r="317" spans="8:8" ht="15.0" customHeight="1">
      <c r="B317" s="136"/>
      <c r="C317" s="146">
        <v>270.81</v>
      </c>
      <c r="D317" s="134">
        <v>-6.71</v>
      </c>
      <c r="E317" s="135"/>
      <c r="G317" s="136"/>
      <c r="H317" s="146">
        <v>406.76</v>
      </c>
      <c r="I317" s="134">
        <v>-8.72</v>
      </c>
      <c r="P317" s="131"/>
    </row>
    <row r="318" spans="8:8" ht="15.0" customHeight="1">
      <c r="B318" s="139" t="s">
        <v>223</v>
      </c>
      <c r="C318" s="155">
        <v>275.42</v>
      </c>
      <c r="D318" s="134">
        <v>-6.79</v>
      </c>
      <c r="E318" s="135"/>
      <c r="G318" s="139" t="s">
        <v>223</v>
      </c>
      <c r="H318" s="155">
        <v>418.62</v>
      </c>
      <c r="I318" s="134">
        <v>-8.83</v>
      </c>
      <c r="P318" s="131"/>
    </row>
    <row r="319" spans="8:8" ht="9.75" customHeight="1">
      <c r="E319" s="135"/>
      <c r="P319" s="131"/>
    </row>
    <row r="320" spans="8:8" ht="15.0" customHeight="1">
      <c r="B320" s="132" t="s">
        <v>118</v>
      </c>
      <c r="C320" s="137">
        <v>404.03</v>
      </c>
      <c r="D320" s="134">
        <v>-3.21</v>
      </c>
      <c r="E320" s="135"/>
      <c r="P320" s="131"/>
    </row>
    <row r="321" spans="8:8" ht="15.0" customHeight="1">
      <c r="B321" s="136"/>
      <c r="C321" s="146" t="s">
        <v>239</v>
      </c>
      <c r="D321" s="134">
        <v>-2.8</v>
      </c>
      <c r="E321" s="135"/>
      <c r="G321" s="157" t="s">
        <v>134</v>
      </c>
      <c r="H321" s="158"/>
      <c r="I321" s="158"/>
      <c r="J321" s="158"/>
      <c r="K321" s="158"/>
      <c r="L321" s="158"/>
      <c r="M321" s="158"/>
      <c r="N321" s="159"/>
      <c r="P321" s="131"/>
    </row>
    <row r="322" spans="8:8" ht="15.0" customHeight="1">
      <c r="B322" s="139" t="s">
        <v>223</v>
      </c>
      <c r="C322" s="155" t="s">
        <v>240</v>
      </c>
      <c r="D322" s="134">
        <v>-3.24</v>
      </c>
      <c r="E322" s="135"/>
      <c r="G322" s="160"/>
      <c r="H322" s="161"/>
      <c r="I322" s="161"/>
      <c r="J322" s="161"/>
      <c r="K322" s="161"/>
      <c r="L322" s="161"/>
      <c r="M322" s="161"/>
      <c r="N322" s="162"/>
      <c r="P322" s="131"/>
    </row>
    <row r="323" spans="8:8" ht="9.75" customHeight="1">
      <c r="P323" s="131"/>
    </row>
    <row r="324" spans="8:8" ht="15.0" customHeight="1">
      <c r="A324" s="164"/>
      <c r="B324" s="165"/>
      <c r="C324" s="165"/>
      <c r="D324" s="165"/>
      <c r="E324" s="165"/>
      <c r="F324" s="165"/>
      <c r="G324" s="165"/>
      <c r="H324" s="165"/>
      <c r="I324" s="165"/>
      <c r="J324" s="165"/>
      <c r="K324" s="165"/>
      <c r="L324" s="165"/>
      <c r="M324" s="165"/>
      <c r="N324" s="165"/>
      <c r="O324" s="166"/>
      <c r="P324" s="167"/>
    </row>
    <row r="325" spans="8:8" ht="15.0" customHeight="1"/>
  </sheetData>
  <sheetProtection sheet="0" selectLockedCells="1"/>
  <mergeCells count="271">
    <mergeCell ref="B20:B21"/>
    <mergeCell ref="G184:G185"/>
    <mergeCell ref="B220:B221"/>
    <mergeCell ref="B148:B149"/>
    <mergeCell ref="E106:E107"/>
    <mergeCell ref="B182:B183"/>
    <mergeCell ref="H225:I226"/>
    <mergeCell ref="O286:O287"/>
    <mergeCell ref="L144:L145"/>
    <mergeCell ref="A260:O260"/>
    <mergeCell ref="A324:O324"/>
    <mergeCell ref="G280:G281"/>
    <mergeCell ref="B32:B33"/>
    <mergeCell ref="D7:E7"/>
    <mergeCell ref="D2:E2"/>
    <mergeCell ref="G61:G62"/>
    <mergeCell ref="L24:L25"/>
    <mergeCell ref="B44:B45"/>
    <mergeCell ref="B116:B117"/>
    <mergeCell ref="G284:G285"/>
    <mergeCell ref="B304:B305"/>
    <mergeCell ref="B188:B189"/>
    <mergeCell ref="G296:G297"/>
    <mergeCell ref="G240:G241"/>
    <mergeCell ref="B232:B233"/>
    <mergeCell ref="B284:B285"/>
    <mergeCell ref="B280:B281"/>
    <mergeCell ref="C262:D263"/>
    <mergeCell ref="L56:L57"/>
    <mergeCell ref="D6:E6"/>
    <mergeCell ref="B88:B89"/>
    <mergeCell ref="O10:O11"/>
    <mergeCell ref="L2:R2"/>
    <mergeCell ref="G148:G149"/>
    <mergeCell ref="B80:B81"/>
    <mergeCell ref="G44:G45"/>
    <mergeCell ref="C10:D11"/>
    <mergeCell ref="G108:G109"/>
    <mergeCell ref="B92:B93"/>
    <mergeCell ref="G96:G97"/>
    <mergeCell ref="G52:G53"/>
    <mergeCell ref="G106:G107"/>
    <mergeCell ref="B10:B11"/>
    <mergeCell ref="H61:I62"/>
    <mergeCell ref="L10:L11"/>
    <mergeCell ref="L112:L113"/>
    <mergeCell ref="L276:L277"/>
    <mergeCell ref="B213:B214"/>
    <mergeCell ref="G182:G183"/>
    <mergeCell ref="L288:L289"/>
    <mergeCell ref="J225:J226"/>
    <mergeCell ref="H106:I107"/>
    <mergeCell ref="B40:B41"/>
    <mergeCell ref="G28:G29"/>
    <mergeCell ref="G120:G121"/>
    <mergeCell ref="B108:B109"/>
    <mergeCell ref="C106:D107"/>
    <mergeCell ref="B96:B97"/>
    <mergeCell ref="L116:L117"/>
    <mergeCell ref="O290:O291"/>
    <mergeCell ref="B216:B217"/>
    <mergeCell ref="O270:O271"/>
    <mergeCell ref="G92:G93"/>
    <mergeCell ref="O284:O285"/>
    <mergeCell ref="O272:O273"/>
    <mergeCell ref="O182:O183"/>
    <mergeCell ref="J294:J295"/>
    <mergeCell ref="L12:L13"/>
    <mergeCell ref="G128:G129"/>
    <mergeCell ref="B24:B25"/>
    <mergeCell ref="B4:C4"/>
    <mergeCell ref="O106:O107"/>
    <mergeCell ref="L272:L273"/>
    <mergeCell ref="O280:O281"/>
    <mergeCell ref="O268:O269"/>
    <mergeCell ref="O266:O267"/>
    <mergeCell ref="O262:O263"/>
    <mergeCell ref="A104:O104"/>
    <mergeCell ref="B28:B29"/>
    <mergeCell ref="G220:G221"/>
    <mergeCell ref="B296:B297"/>
    <mergeCell ref="G294:G295"/>
    <mergeCell ref="B316:B317"/>
    <mergeCell ref="G36:G37"/>
    <mergeCell ref="C137:D138"/>
    <mergeCell ref="B5:C5"/>
    <mergeCell ref="B36:B37"/>
    <mergeCell ref="B12:B13"/>
    <mergeCell ref="G68:G69"/>
    <mergeCell ref="B60:B61"/>
    <mergeCell ref="B200:B201"/>
    <mergeCell ref="B308:B309"/>
    <mergeCell ref="G244:G245"/>
    <mergeCell ref="B224:B225"/>
    <mergeCell ref="L280:L281"/>
    <mergeCell ref="G304:G305"/>
    <mergeCell ref="G225:G226"/>
    <mergeCell ref="L106:L107"/>
    <mergeCell ref="B53:B54"/>
    <mergeCell ref="L16:L17"/>
    <mergeCell ref="L156:L157"/>
    <mergeCell ref="L148:L149"/>
    <mergeCell ref="G72:G73"/>
    <mergeCell ref="B6:C6"/>
    <mergeCell ref="I2:J2"/>
    <mergeCell ref="G32:G33"/>
    <mergeCell ref="G101:N102"/>
    <mergeCell ref="L36:L37"/>
    <mergeCell ref="B144:B145"/>
    <mergeCell ref="G4:H4"/>
    <mergeCell ref="B100:B101"/>
    <mergeCell ref="G88:G89"/>
    <mergeCell ref="B72:B73"/>
    <mergeCell ref="G40:G41"/>
    <mergeCell ref="I7:J7"/>
    <mergeCell ref="G124:G125"/>
    <mergeCell ref="D4:E4"/>
    <mergeCell ref="G64:G65"/>
    <mergeCell ref="G116:G117"/>
    <mergeCell ref="G76:G77"/>
    <mergeCell ref="G48:G49"/>
    <mergeCell ref="L20:L21"/>
    <mergeCell ref="M10:N11"/>
    <mergeCell ref="G80:G81"/>
    <mergeCell ref="B3:C3"/>
    <mergeCell ref="G112:G113"/>
    <mergeCell ref="B204:B205"/>
    <mergeCell ref="E294:E295"/>
    <mergeCell ref="B294:B295"/>
    <mergeCell ref="H294:I295"/>
    <mergeCell ref="G308:G309"/>
    <mergeCell ref="G316:G317"/>
    <mergeCell ref="G268:G269"/>
    <mergeCell ref="B208:B209"/>
    <mergeCell ref="G196:G197"/>
    <mergeCell ref="G200:G201"/>
    <mergeCell ref="B228:B229"/>
    <mergeCell ref="B240:B241"/>
    <mergeCell ref="B312:B313"/>
    <mergeCell ref="G152:G153"/>
    <mergeCell ref="B84:B85"/>
    <mergeCell ref="G2:H2"/>
    <mergeCell ref="L44:L45"/>
    <mergeCell ref="B168:B169"/>
    <mergeCell ref="G256:G257"/>
    <mergeCell ref="G177:N178"/>
    <mergeCell ref="L48:L49"/>
    <mergeCell ref="G84:G85"/>
    <mergeCell ref="I5:J5"/>
    <mergeCell ref="G24:G25"/>
    <mergeCell ref="G20:G21"/>
    <mergeCell ref="H10:I11"/>
    <mergeCell ref="D3:E3"/>
    <mergeCell ref="G232:G233"/>
    <mergeCell ref="B300:B301"/>
    <mergeCell ref="E213:E214"/>
    <mergeCell ref="B172:B173"/>
    <mergeCell ref="L262:L263"/>
    <mergeCell ref="G312:G313"/>
    <mergeCell ref="G300:G301"/>
    <mergeCell ref="B196:B197"/>
    <mergeCell ref="H262:I263"/>
    <mergeCell ref="A292:O292"/>
    <mergeCell ref="M106:N107"/>
    <mergeCell ref="B7:C7"/>
    <mergeCell ref="I4:J4"/>
    <mergeCell ref="J106:J107"/>
    <mergeCell ref="H137:I138"/>
    <mergeCell ref="O282:O283"/>
    <mergeCell ref="O274:O275"/>
    <mergeCell ref="O264:O265"/>
    <mergeCell ref="O276:O277"/>
    <mergeCell ref="O278:O279"/>
    <mergeCell ref="A180:O180"/>
    <mergeCell ref="M262:N263"/>
    <mergeCell ref="H182:I183"/>
    <mergeCell ref="B276:B277"/>
    <mergeCell ref="G321:N322"/>
    <mergeCell ref="G252:G253"/>
    <mergeCell ref="D5:E5"/>
    <mergeCell ref="B160:B161"/>
    <mergeCell ref="G6:H6"/>
    <mergeCell ref="B120:B121"/>
    <mergeCell ref="G248:G249"/>
    <mergeCell ref="B264:B265"/>
    <mergeCell ref="B16:B17"/>
    <mergeCell ref="G276:G277"/>
    <mergeCell ref="B124:B125"/>
    <mergeCell ref="G262:G263"/>
    <mergeCell ref="B272:B273"/>
    <mergeCell ref="B106:B107"/>
    <mergeCell ref="C213:D214"/>
    <mergeCell ref="G188:G189"/>
    <mergeCell ref="G272:G273"/>
    <mergeCell ref="B156:B157"/>
    <mergeCell ref="G132:G133"/>
    <mergeCell ref="B248:B249"/>
    <mergeCell ref="E262:E263"/>
    <mergeCell ref="B192:B193"/>
    <mergeCell ref="B320:B321"/>
    <mergeCell ref="L284:L285"/>
    <mergeCell ref="B236:B237"/>
    <mergeCell ref="L152:L153"/>
    <mergeCell ref="B152:B153"/>
    <mergeCell ref="L128:L129"/>
    <mergeCell ref="J10:J11"/>
    <mergeCell ref="G144:G145"/>
    <mergeCell ref="G12:G13"/>
    <mergeCell ref="L120:L121"/>
    <mergeCell ref="B140:B141"/>
    <mergeCell ref="G137:G138"/>
    <mergeCell ref="B132:B133"/>
    <mergeCell ref="L28:L29"/>
    <mergeCell ref="B2:C2"/>
    <mergeCell ref="L64:L65"/>
    <mergeCell ref="C53:D54"/>
    <mergeCell ref="E10:E11"/>
    <mergeCell ref="B164:B165"/>
    <mergeCell ref="L264:L265"/>
    <mergeCell ref="G288:G289"/>
    <mergeCell ref="L268:L269"/>
    <mergeCell ref="B176:B177"/>
    <mergeCell ref="G212:G213"/>
    <mergeCell ref="E182:E183"/>
    <mergeCell ref="G228:G229"/>
    <mergeCell ref="G216:G217"/>
    <mergeCell ref="G208:G209"/>
    <mergeCell ref="G204:G205"/>
    <mergeCell ref="L32:L33"/>
    <mergeCell ref="G56:G57"/>
    <mergeCell ref="L140:L141"/>
    <mergeCell ref="I6:J6"/>
    <mergeCell ref="B184:B185"/>
    <mergeCell ref="G236:G237"/>
    <mergeCell ref="C294:D295"/>
    <mergeCell ref="B112:B113"/>
    <mergeCell ref="L68:L69"/>
    <mergeCell ref="G16:G17"/>
    <mergeCell ref="I3:J3"/>
    <mergeCell ref="B76:B77"/>
    <mergeCell ref="L132:L133"/>
    <mergeCell ref="L136:L137"/>
    <mergeCell ref="B137:B138"/>
    <mergeCell ref="G140:G141"/>
    <mergeCell ref="G5:H5"/>
    <mergeCell ref="L108:L109"/>
    <mergeCell ref="J137:J138"/>
    <mergeCell ref="J61:J62"/>
    <mergeCell ref="L60:L61"/>
    <mergeCell ref="L52:L53"/>
    <mergeCell ref="G264:G265"/>
    <mergeCell ref="B56:B57"/>
    <mergeCell ref="B288:B289"/>
    <mergeCell ref="G3:H3"/>
    <mergeCell ref="L124:L125"/>
    <mergeCell ref="J182:J183"/>
    <mergeCell ref="E137:E138"/>
    <mergeCell ref="B262:B263"/>
    <mergeCell ref="B48:B49"/>
    <mergeCell ref="E53:E54"/>
    <mergeCell ref="B268:B269"/>
    <mergeCell ref="C182:D183"/>
    <mergeCell ref="B128:B129"/>
    <mergeCell ref="B64:B65"/>
    <mergeCell ref="B244:B245"/>
    <mergeCell ref="B68:B69"/>
    <mergeCell ref="G192:G193"/>
    <mergeCell ref="L40:L41"/>
    <mergeCell ref="G10:G11"/>
    <mergeCell ref="J262:J263"/>
    <mergeCell ref="O288:O289"/>
  </mergeCells>
  <hyperlinks>
    <hyperlink ref="I7:J7" location="'Pins{320}'!H294" display="Wind Hill"/>
    <hyperlink ref="I6:J6" location="'Pins{320}'!B294" display="Deep Inferno"/>
    <hyperlink ref="I5:J5" location="'Pins{320}'!M262" display="Wiz Wiz"/>
    <hyperlink ref="I4:J4" location="'Pins{320}'!H262" display="Silvia Cannon"/>
    <hyperlink ref="I3:J3" location="'Pins{320}'!B262" display="Ice Inferno"/>
    <hyperlink ref="G6:H6" location="'Pins{320}'!H225" display="White Wiz"/>
    <hyperlink ref="G3:H3" location="'Pins{320}'!B213" display="Blue Moon"/>
    <hyperlink ref="G4:H4" location="'Pins{320}'!H182" display="Blue Water"/>
    <hyperlink ref="G5:H5" location="'Pins{320}'!B182" display="Sepia Wind"/>
    <hyperlink ref="D7:E7" location="'Pins{320}'!H137" display="Wiz City"/>
    <hyperlink ref="D3:E3" location="'Pins{320}'!B137" display="Abbot Mine"/>
    <hyperlink ref="D4:E4" location="'Pins{320}'!M106" display="Eastern Valley"/>
    <hyperlink ref="D6:E6" location="'Pins{320}'!H106" display="Shining Sand"/>
    <hyperlink ref="D5:E5" location="'Pins{320}'!B106" display="Ice Cannon"/>
    <hyperlink ref="B7:C7" location="'Pins{320}'!H61" display="West Wiz"/>
    <hyperlink ref="B6:C6" location="'Pins{320}'!B53" display="Pink Wind"/>
    <hyperlink ref="B5:C5" location="'Pins{320}'!H10" display="Lost Seaway"/>
    <hyperlink ref="B4:C4" location="'Pins{320}'!M10" display="Ice Spa"/>
    <hyperlink ref="B3:C3" location="'Pins{320}'!B10" display="Blue Lagoon"/>
  </hyperlinks>
  <pageMargins left="0.511811024" right="0.511811024" top="0.787401575" bottom="0.787401575" header="0.31496062" footer="0.31496062"/>
  <picture r:id="rId1"/>
</worksheet>
</file>

<file path=xl/worksheets/sheet3.xml><?xml version="1.0" encoding="utf-8"?>
<worksheet xmlns:r="http://schemas.openxmlformats.org/officeDocument/2006/relationships" xmlns="http://schemas.openxmlformats.org/spreadsheetml/2006/main">
  <sheetPr>
    <tabColor rgb="FF00B0F0"/>
  </sheetPr>
  <dimension ref="A1:BC207"/>
  <sheetViews>
    <sheetView workbookViewId="0" showGridLines="0" showRowColHeaders="0" zoomScale="80">
      <pane ySplit="4" topLeftCell="A33" state="frozen" activePane="bottomLeft"/>
      <selection pane="bottomLeft" activeCell="E2" sqref="E2"/>
    </sheetView>
  </sheetViews>
  <sheetFormatPr defaultRowHeight="12.75" defaultColWidth="10"/>
  <cols>
    <col min="1" max="1" customWidth="1" width="2.8554688" style="1"/>
    <col min="2" max="2" customWidth="1" width="10.7109375" style="1"/>
    <col min="3" max="4" customWidth="1" width="8.5703125" style="1"/>
    <col min="5" max="5" customWidth="1" width="2.8554688" style="1"/>
    <col min="6" max="6" customWidth="1" width="10.7109375" style="1"/>
    <col min="7" max="8" customWidth="1" width="8.5703125" style="1"/>
    <col min="9" max="9" customWidth="1" width="2.8554688" style="1"/>
    <col min="10" max="10" customWidth="1" width="10.7109375" style="1"/>
    <col min="11" max="12" customWidth="1" width="8.5703125" style="1"/>
    <col min="13" max="13" customWidth="1" width="2.8554688" style="1"/>
    <col min="14" max="14" customWidth="1" width="7.140625" style="1"/>
    <col min="15" max="15" customWidth="1" width="2.8554688" style="1"/>
    <col min="16" max="27" customWidth="1" width="8.5703125" style="1"/>
    <col min="28" max="28" customWidth="1" width="2.8554688" style="1"/>
    <col min="29" max="39" customWidth="1" width="8.5703125" style="1"/>
    <col min="40" max="16384" customWidth="0" width="9.140625" style="1"/>
  </cols>
  <sheetData>
    <row r="1" spans="8:8" ht="7.5" customHeight="1">
      <c r="N1" s="180"/>
    </row>
    <row r="2" spans="8:8" ht="15.0" customHeight="1">
      <c r="B2" s="181" t="s">
        <v>354</v>
      </c>
      <c r="C2" s="182"/>
      <c r="D2" s="183"/>
      <c r="F2" s="184" t="s">
        <v>137</v>
      </c>
      <c r="G2" s="185">
        <v>0.0</v>
      </c>
      <c r="H2" s="185"/>
      <c r="J2" s="186" t="s">
        <v>355</v>
      </c>
      <c r="K2" s="185">
        <v>1.0</v>
      </c>
      <c r="L2" s="185"/>
      <c r="N2" s="180"/>
      <c r="P2" s="187" t="s">
        <v>375</v>
      </c>
      <c r="Q2" s="188"/>
      <c r="R2" s="189"/>
      <c r="T2" s="190" t="s">
        <v>281</v>
      </c>
      <c r="U2" s="190">
        <v>286.0</v>
      </c>
      <c r="W2" s="190" t="s">
        <v>281</v>
      </c>
      <c r="X2" s="190" t="s">
        <v>28</v>
      </c>
      <c r="Y2" s="190" t="s">
        <v>29</v>
      </c>
      <c r="Z2" s="190"/>
      <c r="AC2" s="190" t="s">
        <v>323</v>
      </c>
      <c r="AD2" s="190" t="s">
        <v>28</v>
      </c>
      <c r="AE2" s="190" t="s">
        <v>29</v>
      </c>
    </row>
    <row r="3" spans="8:8" ht="15.0" customHeight="1">
      <c r="B3" s="191"/>
      <c r="C3" s="192"/>
      <c r="D3" s="193"/>
      <c r="F3" s="184"/>
      <c r="G3" s="185"/>
      <c r="H3" s="185"/>
      <c r="J3" s="186"/>
      <c r="K3" s="185"/>
      <c r="L3" s="185"/>
      <c r="N3" s="180"/>
      <c r="P3" s="194"/>
      <c r="Q3" s="195"/>
      <c r="R3" s="196"/>
      <c r="T3" s="190" t="s">
        <v>27</v>
      </c>
      <c r="U3" s="190">
        <v>6.0</v>
      </c>
      <c r="W3" s="190">
        <f>U2</f>
        <v>286.0</v>
      </c>
      <c r="X3" s="190">
        <f>W3+10+U3</f>
        <v>302.0</v>
      </c>
      <c r="Y3" s="190">
        <f>X3+10</f>
        <v>312.0</v>
      </c>
      <c r="Z3" s="190"/>
      <c r="AC3" s="190">
        <f>W3-20</f>
        <v>266.0</v>
      </c>
      <c r="AD3" s="190">
        <f>AC3+10+U3</f>
        <v>282.0</v>
      </c>
      <c r="AE3" s="190">
        <f>AD3+10</f>
        <v>292.0</v>
      </c>
    </row>
    <row r="4" spans="8:8" ht="7.5" customHeight="1">
      <c r="N4" s="180"/>
    </row>
    <row r="5" spans="8:8" ht="7.5" customHeight="1">
      <c r="N5" s="180"/>
    </row>
    <row r="6" spans="8:8" ht="15.0" customHeight="1">
      <c r="F6" s="197" t="s">
        <v>324</v>
      </c>
      <c r="G6" s="197"/>
      <c r="H6" s="197"/>
      <c r="N6" s="180"/>
      <c r="P6" s="198">
        <v>345.0</v>
      </c>
      <c r="Q6" s="198"/>
      <c r="R6" s="198"/>
      <c r="S6" s="198"/>
      <c r="T6" s="199">
        <v>352.0</v>
      </c>
      <c r="U6" s="199"/>
      <c r="V6" s="199"/>
      <c r="W6" s="199"/>
      <c r="X6" s="199">
        <v>353.0</v>
      </c>
      <c r="Y6" s="199"/>
      <c r="Z6" s="199"/>
      <c r="AA6" s="199"/>
      <c r="AP6" s="200">
        <f t="shared" si="0" ref="AP6:AP22">AP7-0.2/72</f>
        <v>0.9249999999999943</v>
      </c>
      <c r="AQ6" s="201">
        <f>302*AP6</f>
        <v>279.34999999999826</v>
      </c>
      <c r="AR6" s="201">
        <f t="shared" si="1" ref="AR6:AR25">266*AP6</f>
        <v>246.04999999999848</v>
      </c>
    </row>
    <row r="7" spans="8:8" ht="15.0" customHeight="1">
      <c r="F7" s="197"/>
      <c r="G7" s="197"/>
      <c r="H7" s="197"/>
      <c r="N7" s="180"/>
      <c r="P7" s="202" t="s">
        <v>212</v>
      </c>
      <c r="Q7" s="202" t="s">
        <v>125</v>
      </c>
      <c r="R7" s="203" t="s">
        <v>218</v>
      </c>
      <c r="S7" s="203" t="s">
        <v>125</v>
      </c>
      <c r="T7" s="204" t="s">
        <v>212</v>
      </c>
      <c r="U7" s="204" t="s">
        <v>125</v>
      </c>
      <c r="V7" s="205" t="s">
        <v>218</v>
      </c>
      <c r="W7" s="205" t="s">
        <v>125</v>
      </c>
      <c r="X7" s="204" t="s">
        <v>212</v>
      </c>
      <c r="Y7" s="204" t="s">
        <v>125</v>
      </c>
      <c r="Z7" s="205" t="s">
        <v>218</v>
      </c>
      <c r="AA7" s="205" t="s">
        <v>125</v>
      </c>
      <c r="AP7" s="200">
        <f t="shared" si="0"/>
        <v>0.9277777777777723</v>
      </c>
      <c r="AQ7" s="201">
        <f t="shared" si="2" ref="AQ7:AQ25">302*AP7</f>
        <v>280.1888888888872</v>
      </c>
      <c r="AR7" s="201">
        <f t="shared" si="1"/>
        <v>246.7888888888874</v>
      </c>
    </row>
    <row r="8" spans="8:8" ht="15.0" customHeight="1">
      <c r="B8" s="206">
        <v>345.0</v>
      </c>
      <c r="C8" s="207" t="s">
        <v>169</v>
      </c>
      <c r="D8" s="207" t="s">
        <v>170</v>
      </c>
      <c r="F8" s="206">
        <v>352.0</v>
      </c>
      <c r="G8" s="207" t="s">
        <v>169</v>
      </c>
      <c r="H8" s="207" t="s">
        <v>170</v>
      </c>
      <c r="J8" s="206">
        <v>353.0</v>
      </c>
      <c r="K8" s="207" t="s">
        <v>169</v>
      </c>
      <c r="L8" s="207" t="s">
        <v>170</v>
      </c>
      <c r="N8" s="180"/>
      <c r="P8" s="208">
        <v>0.0</v>
      </c>
      <c r="Q8" s="209">
        <v>286.9</v>
      </c>
      <c r="R8" s="210">
        <v>0.0</v>
      </c>
      <c r="S8" s="211">
        <v>291.1</v>
      </c>
      <c r="T8" s="212">
        <v>0.0</v>
      </c>
      <c r="U8" s="213">
        <v>295.3</v>
      </c>
      <c r="V8" s="214">
        <v>0.0</v>
      </c>
      <c r="W8" s="215">
        <v>301.2</v>
      </c>
      <c r="X8" s="216">
        <v>0.0</v>
      </c>
      <c r="Y8" s="217">
        <v>298.6</v>
      </c>
      <c r="Z8" s="214">
        <v>0.0</v>
      </c>
      <c r="AA8" s="215" t="e">
        <f>NA()</f>
        <v>#N/A</v>
      </c>
      <c r="AP8" s="200">
        <f t="shared" si="0"/>
        <v>0.9305555555555503</v>
      </c>
      <c r="AQ8" s="201">
        <f t="shared" si="2"/>
        <v>281.0277777777762</v>
      </c>
      <c r="AR8" s="201">
        <f t="shared" si="1"/>
        <v>247.52777777777638</v>
      </c>
    </row>
    <row r="9" spans="8:8" ht="15.0" customHeight="1">
      <c r="B9" s="218" t="s">
        <v>2</v>
      </c>
      <c r="C9" s="219">
        <f>AD10*SIN(RADIANS($G$2))+AE10</f>
        <v>0.05</v>
      </c>
      <c r="D9" s="220">
        <f>AD10*SIN(RADIANS($G$2))-AE10</f>
        <v>-0.05</v>
      </c>
      <c r="F9" s="218" t="s">
        <v>2</v>
      </c>
      <c r="G9" s="219">
        <f>AD11*SIN(RADIANS($G$2))+AE11</f>
        <v>0.05</v>
      </c>
      <c r="H9" s="220">
        <f>AD11*SIN(RADIANS($G$2))-AE11</f>
        <v>-0.05</v>
      </c>
      <c r="J9" s="218" t="s">
        <v>2</v>
      </c>
      <c r="K9" s="219">
        <f>AD12*SIN(RADIANS($G$2))+AE12</f>
        <v>-0.1</v>
      </c>
      <c r="L9" s="220">
        <f>AD12*SIN(RADIANS($G$2))-AE12</f>
        <v>0.1</v>
      </c>
      <c r="N9" s="180"/>
      <c r="P9" s="221">
        <v>36.0</v>
      </c>
      <c r="Q9" s="222">
        <v>287.7</v>
      </c>
      <c r="R9" s="223">
        <v>25.0</v>
      </c>
      <c r="S9" s="224">
        <v>290.3</v>
      </c>
      <c r="T9" s="212">
        <v>22.0</v>
      </c>
      <c r="U9" s="213">
        <v>296.1</v>
      </c>
      <c r="V9" s="225">
        <v>33.0</v>
      </c>
      <c r="W9" s="226">
        <v>300.3</v>
      </c>
      <c r="X9" s="212">
        <v>10.0</v>
      </c>
      <c r="Y9" s="213">
        <v>299.5</v>
      </c>
      <c r="Z9" s="225">
        <v>79.0</v>
      </c>
      <c r="AA9" s="226">
        <v>302.0</v>
      </c>
      <c r="AD9" s="227" t="s">
        <v>325</v>
      </c>
      <c r="AE9" s="227" t="s">
        <v>105</v>
      </c>
      <c r="AF9" s="227" t="s">
        <v>125</v>
      </c>
      <c r="AG9" s="227" t="s">
        <v>270</v>
      </c>
      <c r="AH9" s="227" t="s">
        <v>271</v>
      </c>
      <c r="AJ9" s="227" t="s">
        <v>125</v>
      </c>
      <c r="AK9" s="227" t="s">
        <v>270</v>
      </c>
      <c r="AL9" s="227" t="s">
        <v>271</v>
      </c>
      <c r="AP9" s="200">
        <f t="shared" si="0"/>
        <v>0.9333333333333282</v>
      </c>
      <c r="AQ9" s="201">
        <f t="shared" si="2"/>
        <v>281.86666666666514</v>
      </c>
      <c r="AR9" s="201">
        <f t="shared" si="1"/>
        <v>248.26666666666532</v>
      </c>
    </row>
    <row r="10" spans="8:8" ht="15.0" customHeight="1">
      <c r="B10" s="228"/>
      <c r="C10" s="229">
        <f>AJ10-AK10*COS(RADIANS($G$2))</f>
        <v>94.8245033112583</v>
      </c>
      <c r="D10" s="229">
        <f>AJ10+AL10*COS(RADIANS($G$2))</f>
        <v>96.28476821192055</v>
      </c>
      <c r="E10" s="230"/>
      <c r="F10" s="228"/>
      <c r="G10" s="229">
        <f>AJ11-AK11*COS(RADIANS($G$2))</f>
        <v>97.99668874172185</v>
      </c>
      <c r="H10" s="229">
        <f>AJ11+AL11*COS(RADIANS($G$2))</f>
        <v>99.63576158940398</v>
      </c>
      <c r="I10" s="230"/>
      <c r="J10" s="228"/>
      <c r="K10" s="229">
        <f>AJ12-AK12*COS(RADIANS($G$2))</f>
        <v>99.15562913907287</v>
      </c>
      <c r="L10" s="229">
        <f>AJ12+AL12*COS(RADIANS($G$2))</f>
        <v>100.82119205298017</v>
      </c>
      <c r="N10" s="180"/>
      <c r="P10" s="221">
        <v>65.0</v>
      </c>
      <c r="Q10" s="222">
        <v>288.6</v>
      </c>
      <c r="R10" s="223">
        <v>62.0</v>
      </c>
      <c r="S10" s="224">
        <v>289.4</v>
      </c>
      <c r="T10" s="212">
        <v>55.0</v>
      </c>
      <c r="U10" s="213">
        <v>297.0</v>
      </c>
      <c r="V10" s="225">
        <v>55.0</v>
      </c>
      <c r="W10" s="226">
        <v>299.5</v>
      </c>
      <c r="X10" s="212">
        <v>50.0</v>
      </c>
      <c r="Y10" s="213">
        <v>300.3</v>
      </c>
      <c r="Z10" s="225"/>
      <c r="AA10" s="226"/>
      <c r="AC10" s="231">
        <v>345.0</v>
      </c>
      <c r="AD10" s="232">
        <f>$K$2*8.35</f>
        <v>8.35</v>
      </c>
      <c r="AE10" s="232">
        <f>$K$2*0.05</f>
        <v>0.05</v>
      </c>
      <c r="AF10" s="233">
        <v>288.56</v>
      </c>
      <c r="AG10" s="233">
        <v>2.19</v>
      </c>
      <c r="AH10" s="233">
        <v>2.22</v>
      </c>
      <c r="AJ10" s="234">
        <f t="shared" si="3" ref="AJ10:AL12">AF10*100/$X$3</f>
        <v>95.54966887417218</v>
      </c>
      <c r="AK10" s="234">
        <f t="shared" si="3"/>
        <v>0.7251655629139073</v>
      </c>
      <c r="AL10" s="234">
        <f t="shared" si="3"/>
        <v>0.7350993377483445</v>
      </c>
      <c r="AP10" s="200">
        <f t="shared" si="0"/>
        <v>0.9361111111111062</v>
      </c>
      <c r="AQ10" s="201">
        <f t="shared" si="2"/>
        <v>282.7055555555541</v>
      </c>
      <c r="AR10" s="201">
        <f t="shared" si="1"/>
        <v>249.00555555555425</v>
      </c>
    </row>
    <row r="11" spans="8:8" ht="15.0" customHeight="1">
      <c r="B11" s="235" t="s">
        <v>24</v>
      </c>
      <c r="C11" s="236">
        <f>P13</f>
        <v>286.9</v>
      </c>
      <c r="D11" s="237">
        <f>R13</f>
        <v>291.1</v>
      </c>
      <c r="F11" s="235" t="s">
        <v>24</v>
      </c>
      <c r="G11" s="236">
        <f>T13</f>
        <v>295.3</v>
      </c>
      <c r="H11" s="237">
        <f>V13</f>
        <v>301.2</v>
      </c>
      <c r="J11" s="235" t="s">
        <v>24</v>
      </c>
      <c r="K11" s="236">
        <f>X13</f>
        <v>298.6</v>
      </c>
      <c r="L11" s="237" t="e">
        <f>Z13</f>
        <v>#N/A</v>
      </c>
      <c r="N11" s="180"/>
      <c r="P11" s="221"/>
      <c r="Q11" s="222"/>
      <c r="R11" s="223">
        <v>88.0</v>
      </c>
      <c r="S11" s="224">
        <v>288.6</v>
      </c>
      <c r="T11" s="212">
        <v>76.0</v>
      </c>
      <c r="U11" s="213">
        <v>297.8</v>
      </c>
      <c r="V11" s="225">
        <v>70.0</v>
      </c>
      <c r="W11" s="226">
        <v>298.6</v>
      </c>
      <c r="X11" s="212">
        <v>65.0</v>
      </c>
      <c r="Y11" s="213">
        <v>301.2</v>
      </c>
      <c r="Z11" s="225"/>
      <c r="AA11" s="226"/>
      <c r="AC11" s="238">
        <v>352.0</v>
      </c>
      <c r="AD11" s="232">
        <f>$K$2*8.49</f>
        <v>8.49</v>
      </c>
      <c r="AE11" s="232">
        <f>$K$2*0.05</f>
        <v>0.05</v>
      </c>
      <c r="AF11" s="233">
        <v>298.41</v>
      </c>
      <c r="AG11" s="233">
        <v>2.46</v>
      </c>
      <c r="AH11" s="233">
        <v>2.49</v>
      </c>
      <c r="AJ11" s="234">
        <f t="shared" si="3"/>
        <v>98.8112582781457</v>
      </c>
      <c r="AK11" s="234">
        <f t="shared" si="3"/>
        <v>0.8145695364238411</v>
      </c>
      <c r="AL11" s="234">
        <f t="shared" si="3"/>
        <v>0.8245033112582782</v>
      </c>
      <c r="AP11" s="200">
        <f t="shared" si="0"/>
        <v>0.9388888888888842</v>
      </c>
      <c r="AQ11" s="201">
        <f t="shared" si="2"/>
        <v>283.54444444444306</v>
      </c>
      <c r="AR11" s="201">
        <f t="shared" si="1"/>
        <v>249.7444444444432</v>
      </c>
    </row>
    <row r="12" spans="8:8" ht="15.0" customHeight="1">
      <c r="B12" s="239" t="s">
        <v>328</v>
      </c>
      <c r="C12" s="240" t="s">
        <v>363</v>
      </c>
      <c r="D12" s="241" t="s">
        <v>364</v>
      </c>
      <c r="F12" s="239" t="s">
        <v>328</v>
      </c>
      <c r="G12" s="240" t="s">
        <v>363</v>
      </c>
      <c r="H12" s="241" t="s">
        <v>364</v>
      </c>
      <c r="J12" s="239" t="s">
        <v>328</v>
      </c>
      <c r="K12" s="240" t="s">
        <v>363</v>
      </c>
      <c r="L12" s="241" t="s">
        <v>364</v>
      </c>
      <c r="N12" s="180"/>
      <c r="P12" s="221"/>
      <c r="Q12" s="222"/>
      <c r="R12" s="223"/>
      <c r="S12" s="224"/>
      <c r="T12" s="212"/>
      <c r="U12" s="213"/>
      <c r="V12" s="225">
        <v>85.0</v>
      </c>
      <c r="W12" s="226">
        <v>297.8</v>
      </c>
      <c r="X12" s="212">
        <v>85.0</v>
      </c>
      <c r="Y12" s="213">
        <v>302.0</v>
      </c>
      <c r="Z12" s="225"/>
      <c r="AA12" s="226"/>
      <c r="AC12" s="231">
        <v>353.0</v>
      </c>
      <c r="AD12" s="232">
        <f>$K$2*8.45</f>
        <v>8.45</v>
      </c>
      <c r="AE12" s="232">
        <f>$K$2*-0.1</f>
        <v>-0.1</v>
      </c>
      <c r="AF12" s="233">
        <v>301.95</v>
      </c>
      <c r="AG12" s="233">
        <v>2.5</v>
      </c>
      <c r="AH12" s="233">
        <v>2.53</v>
      </c>
      <c r="AJ12" s="234">
        <f t="shared" si="3"/>
        <v>99.98344370860927</v>
      </c>
      <c r="AK12" s="234">
        <f t="shared" si="3"/>
        <v>0.8278145695364238</v>
      </c>
      <c r="AL12" s="234">
        <f t="shared" si="3"/>
        <v>0.8377483443708609</v>
      </c>
      <c r="AP12" s="200">
        <f t="shared" si="0"/>
        <v>0.9416666666666622</v>
      </c>
      <c r="AQ12" s="201">
        <f t="shared" si="2"/>
        <v>284.38333333333196</v>
      </c>
      <c r="AR12" s="201">
        <f t="shared" si="1"/>
        <v>250.48333333333215</v>
      </c>
    </row>
    <row r="13" spans="8:8" ht="15.0" customHeight="1">
      <c r="B13" s="242" t="s">
        <v>329</v>
      </c>
      <c r="C13" s="242"/>
      <c r="D13" s="242"/>
      <c r="F13" s="242" t="s">
        <v>329</v>
      </c>
      <c r="G13" s="242"/>
      <c r="H13" s="242"/>
      <c r="J13" s="242" t="s">
        <v>329</v>
      </c>
      <c r="K13" s="242"/>
      <c r="L13" s="242"/>
      <c r="N13" s="180"/>
      <c r="P13" s="243">
        <f>VLOOKUP($G$2,P8:Q12,2)</f>
        <v>286.9</v>
      </c>
      <c r="Q13" s="244"/>
      <c r="R13" s="245">
        <f>VLOOKUP($G$2,R8:S12,2)</f>
        <v>291.1</v>
      </c>
      <c r="S13" s="246"/>
      <c r="T13" s="247">
        <f>VLOOKUP($G$2,T8:U12,2)</f>
        <v>295.3</v>
      </c>
      <c r="U13" s="248"/>
      <c r="V13" s="249">
        <f>VLOOKUP($G$2,V8:W12,2)</f>
        <v>301.2</v>
      </c>
      <c r="W13" s="250"/>
      <c r="X13" s="247">
        <f>VLOOKUP($G$2,X8:Y12,2)</f>
        <v>298.6</v>
      </c>
      <c r="Y13" s="248"/>
      <c r="Z13" s="249" t="e">
        <f>VLOOKUP($G$2,Z8:AA12,2)</f>
        <v>#N/A</v>
      </c>
      <c r="AA13" s="250"/>
      <c r="AP13" s="200">
        <f t="shared" si="0"/>
        <v>0.9444444444444402</v>
      </c>
      <c r="AQ13" s="201">
        <f t="shared" si="2"/>
        <v>285.2222222222209</v>
      </c>
      <c r="AR13" s="201">
        <f t="shared" si="1"/>
        <v>251.2222222222211</v>
      </c>
    </row>
    <row r="14" spans="8:8" ht="15.0" customHeight="1">
      <c r="N14" s="180"/>
      <c r="O14" s="251"/>
      <c r="AP14" s="200">
        <f t="shared" si="0"/>
        <v>0.9472222222222182</v>
      </c>
      <c r="AQ14" s="201">
        <f t="shared" si="2"/>
        <v>286.0611111111099</v>
      </c>
      <c r="AR14" s="201">
        <f t="shared" si="1"/>
        <v>251.96111111111003</v>
      </c>
    </row>
    <row r="15" spans="8:8" ht="15.0" customHeight="1">
      <c r="A15" s="252"/>
      <c r="B15" s="252"/>
      <c r="C15" s="252"/>
      <c r="D15" s="252"/>
      <c r="E15" s="252"/>
      <c r="F15" s="252"/>
      <c r="G15" s="252"/>
      <c r="H15" s="252"/>
      <c r="I15" s="252"/>
      <c r="J15" s="252"/>
      <c r="K15" s="252"/>
      <c r="L15" s="252"/>
      <c r="M15" s="252"/>
      <c r="N15" s="180"/>
      <c r="O15" s="252"/>
      <c r="P15" s="252"/>
      <c r="Q15" s="252"/>
      <c r="R15" s="252"/>
      <c r="S15" s="252"/>
      <c r="T15" s="252"/>
      <c r="U15" s="252"/>
      <c r="V15" s="252"/>
      <c r="W15" s="252"/>
      <c r="X15" s="252"/>
      <c r="Y15" s="252"/>
      <c r="Z15" s="252"/>
      <c r="AA15" s="252"/>
      <c r="AB15" s="252"/>
      <c r="AC15" s="252"/>
      <c r="AD15" s="252"/>
      <c r="AE15" s="252"/>
      <c r="AF15" s="252"/>
      <c r="AG15" s="252"/>
      <c r="AH15" s="252"/>
      <c r="AI15" s="252"/>
      <c r="AJ15" s="252"/>
      <c r="AK15" s="252"/>
      <c r="AL15" s="252"/>
      <c r="AM15" s="252"/>
      <c r="AN15" s="252"/>
      <c r="AP15" s="200">
        <f t="shared" si="0"/>
        <v>0.9499999999999962</v>
      </c>
      <c r="AQ15" s="201">
        <f t="shared" si="2"/>
        <v>286.89999999999884</v>
      </c>
      <c r="AR15" s="201">
        <f t="shared" si="1"/>
        <v>252.699999999999</v>
      </c>
    </row>
    <row r="16" spans="8:8" ht="15.0" customHeight="1">
      <c r="N16" s="180"/>
      <c r="O16" s="251"/>
      <c r="P16" s="251"/>
      <c r="Q16" s="251"/>
      <c r="AP16" s="200">
        <f t="shared" si="0"/>
        <v>0.9527777777777743</v>
      </c>
      <c r="AQ16" s="201">
        <f t="shared" si="2"/>
        <v>287.73888888888786</v>
      </c>
      <c r="AR16" s="201">
        <f t="shared" si="1"/>
        <v>253.43888888888796</v>
      </c>
    </row>
    <row r="17" spans="8:8" ht="15.0" customHeight="1">
      <c r="F17" s="197" t="s">
        <v>330</v>
      </c>
      <c r="G17" s="197"/>
      <c r="H17" s="197"/>
      <c r="N17" s="180"/>
      <c r="O17" s="251"/>
      <c r="P17" s="198">
        <v>275.0</v>
      </c>
      <c r="Q17" s="198"/>
      <c r="R17" s="198"/>
      <c r="S17" s="198"/>
      <c r="T17" s="198">
        <v>282.0</v>
      </c>
      <c r="U17" s="198"/>
      <c r="V17" s="198"/>
      <c r="W17" s="198"/>
      <c r="X17" s="198">
        <v>284.0</v>
      </c>
      <c r="Y17" s="198"/>
      <c r="Z17" s="198"/>
      <c r="AA17" s="198"/>
      <c r="AP17" s="200">
        <f t="shared" si="0"/>
        <v>0.9555555555555523</v>
      </c>
      <c r="AQ17" s="201">
        <f t="shared" si="2"/>
        <v>288.57777777777676</v>
      </c>
      <c r="AR17" s="201">
        <f t="shared" si="1"/>
        <v>254.1777777777769</v>
      </c>
    </row>
    <row r="18" spans="8:8" ht="15.0" customHeight="1">
      <c r="F18" s="197"/>
      <c r="G18" s="197"/>
      <c r="H18" s="197"/>
      <c r="N18" s="180"/>
      <c r="O18" s="251"/>
      <c r="P18" s="202" t="s">
        <v>212</v>
      </c>
      <c r="Q18" s="202" t="s">
        <v>125</v>
      </c>
      <c r="R18" s="203" t="s">
        <v>218</v>
      </c>
      <c r="S18" s="203" t="s">
        <v>125</v>
      </c>
      <c r="T18" s="202" t="s">
        <v>212</v>
      </c>
      <c r="U18" s="202" t="s">
        <v>125</v>
      </c>
      <c r="V18" s="203" t="s">
        <v>218</v>
      </c>
      <c r="W18" s="203" t="s">
        <v>125</v>
      </c>
      <c r="X18" s="202" t="s">
        <v>212</v>
      </c>
      <c r="Y18" s="202" t="s">
        <v>125</v>
      </c>
      <c r="Z18" s="203" t="s">
        <v>218</v>
      </c>
      <c r="AA18" s="203" t="s">
        <v>125</v>
      </c>
      <c r="AP18" s="200">
        <f t="shared" si="0"/>
        <v>0.9583333333333303</v>
      </c>
      <c r="AQ18" s="201">
        <f t="shared" si="2"/>
        <v>289.4166666666657</v>
      </c>
      <c r="AR18" s="201">
        <f t="shared" si="1"/>
        <v>254.91666666666586</v>
      </c>
    </row>
    <row r="19" spans="8:8" ht="15.0" customHeight="1">
      <c r="B19" s="206">
        <v>275.0</v>
      </c>
      <c r="C19" s="207" t="s">
        <v>0</v>
      </c>
      <c r="D19" s="207" t="s">
        <v>1</v>
      </c>
      <c r="F19" s="206">
        <v>282.0</v>
      </c>
      <c r="G19" s="207" t="s">
        <v>0</v>
      </c>
      <c r="H19" s="207" t="s">
        <v>1</v>
      </c>
      <c r="J19" s="206">
        <v>284.0</v>
      </c>
      <c r="K19" s="207" t="s">
        <v>0</v>
      </c>
      <c r="L19" s="207" t="s">
        <v>1</v>
      </c>
      <c r="N19" s="180"/>
      <c r="O19" s="251"/>
      <c r="P19" s="208">
        <v>0.0</v>
      </c>
      <c r="Q19" s="209">
        <v>257.9</v>
      </c>
      <c r="R19" s="210"/>
      <c r="S19" s="211"/>
      <c r="T19" s="221">
        <v>0.0</v>
      </c>
      <c r="U19" s="222"/>
      <c r="V19" s="210">
        <v>0.0</v>
      </c>
      <c r="W19" s="211"/>
      <c r="X19" s="208">
        <v>0.0</v>
      </c>
      <c r="Y19" s="209"/>
      <c r="Z19" s="210">
        <v>0.0</v>
      </c>
      <c r="AA19" s="211"/>
      <c r="AD19" s="253" t="s">
        <v>325</v>
      </c>
      <c r="AE19" s="254"/>
      <c r="AP19" s="200">
        <f t="shared" si="0"/>
        <v>0.9611111111111083</v>
      </c>
      <c r="AQ19" s="201">
        <f t="shared" si="2"/>
        <v>290.2555555555547</v>
      </c>
      <c r="AR19" s="201">
        <f t="shared" si="1"/>
        <v>255.6555555555548</v>
      </c>
    </row>
    <row r="20" spans="8:8" ht="15.0" customHeight="1">
      <c r="B20" s="218" t="s">
        <v>2</v>
      </c>
      <c r="C20" s="219">
        <f>AD21*SIN(RADIANS($G$2))</f>
        <v>0.0</v>
      </c>
      <c r="D20" s="220">
        <f>AD21*SIN(RADIANS($G$2))*(D21/C21)</f>
        <v>0.0</v>
      </c>
      <c r="F20" s="218" t="s">
        <v>2</v>
      </c>
      <c r="G20" s="219">
        <f>AD22*SIN(RADIANS($G$2))*(G21*2/(G21+H21))</f>
        <v>0.0</v>
      </c>
      <c r="H20" s="220">
        <f>AD22*SIN(RADIANS($G$2))*(H21*2/(G21+H21))</f>
        <v>0.0</v>
      </c>
      <c r="J20" s="218" t="s">
        <v>2</v>
      </c>
      <c r="K20" s="219">
        <f>AD23*SIN(RADIANS($G$2))*(K21*2/(K21+L21))</f>
        <v>0.0</v>
      </c>
      <c r="L20" s="220">
        <f>AD23*SIN(RADIANS($G$2))*(L21*2/(K21+L21))</f>
        <v>0.0</v>
      </c>
      <c r="N20" s="180"/>
      <c r="O20" s="251"/>
      <c r="P20" s="221">
        <v>30.0</v>
      </c>
      <c r="Q20" s="222">
        <v>258.6</v>
      </c>
      <c r="R20" s="223"/>
      <c r="S20" s="224"/>
      <c r="T20" s="221"/>
      <c r="U20" s="222"/>
      <c r="V20" s="223"/>
      <c r="W20" s="224"/>
      <c r="X20" s="221"/>
      <c r="Y20" s="222"/>
      <c r="Z20" s="223"/>
      <c r="AA20" s="224"/>
      <c r="AD20" s="227" t="s">
        <v>169</v>
      </c>
      <c r="AE20" s="227" t="s">
        <v>170</v>
      </c>
      <c r="AF20" s="227" t="s">
        <v>125</v>
      </c>
      <c r="AG20" s="227" t="s">
        <v>270</v>
      </c>
      <c r="AH20" s="227" t="s">
        <v>271</v>
      </c>
      <c r="AJ20" s="227" t="s">
        <v>125</v>
      </c>
      <c r="AK20" s="227" t="s">
        <v>270</v>
      </c>
      <c r="AL20" s="227" t="s">
        <v>271</v>
      </c>
      <c r="AP20" s="200">
        <f t="shared" si="0"/>
        <v>0.9638888888888862</v>
      </c>
      <c r="AQ20" s="201">
        <f t="shared" si="2"/>
        <v>291.09444444444364</v>
      </c>
      <c r="AR20" s="201">
        <f t="shared" si="1"/>
        <v>256.39444444444376</v>
      </c>
    </row>
    <row r="21" spans="8:8" ht="15.0" customHeight="1">
      <c r="B21" s="255"/>
      <c r="C21" s="256">
        <f>AJ21-AK21*COS(RADIANS($G$2))</f>
        <v>94.94736842105264</v>
      </c>
      <c r="D21" s="256">
        <f>AJ21+AL21*COS(RADIANS($G$2))</f>
        <v>97.05263157894737</v>
      </c>
      <c r="E21" s="230"/>
      <c r="F21" s="228"/>
      <c r="G21" s="229">
        <f>AJ22-AK22*COS(RADIANS($G$2))</f>
        <v>96.40977443609023</v>
      </c>
      <c r="H21" s="229">
        <f>AJ22+AL22*COS(RADIANS($G$2))</f>
        <v>98.59022556390978</v>
      </c>
      <c r="I21" s="230"/>
      <c r="J21" s="228"/>
      <c r="K21" s="229">
        <f>AJ23-AK23*COS(RADIANS($G$2))</f>
        <v>97.02255639097743</v>
      </c>
      <c r="L21" s="229">
        <f>AJ23+AL23*COS(RADIANS($G$2))</f>
        <v>99.20300751879698</v>
      </c>
      <c r="N21" s="180"/>
      <c r="O21" s="251"/>
      <c r="P21" s="221">
        <v>52.0</v>
      </c>
      <c r="Q21" s="222">
        <v>259.4</v>
      </c>
      <c r="R21" s="223"/>
      <c r="S21" s="224"/>
      <c r="T21" s="221"/>
      <c r="U21" s="222"/>
      <c r="V21" s="223"/>
      <c r="W21" s="224"/>
      <c r="X21" s="221"/>
      <c r="Y21" s="222"/>
      <c r="Z21" s="223"/>
      <c r="AA21" s="224"/>
      <c r="AC21" s="231">
        <v>275.0</v>
      </c>
      <c r="AD21" s="257">
        <f>$K$2*9.95</f>
        <v>9.95</v>
      </c>
      <c r="AE21" s="258"/>
      <c r="AF21" s="259">
        <v>255.26</v>
      </c>
      <c r="AG21" s="259">
        <v>2.7</v>
      </c>
      <c r="AH21" s="259">
        <v>2.9</v>
      </c>
      <c r="AJ21" s="234">
        <f t="shared" si="4" ref="AJ21:AL23">AF21*100/$AC$3</f>
        <v>95.9624060150376</v>
      </c>
      <c r="AK21" s="234">
        <f t="shared" si="4"/>
        <v>1.0150375939849625</v>
      </c>
      <c r="AL21" s="234">
        <f t="shared" si="4"/>
        <v>1.0902255639097744</v>
      </c>
      <c r="AP21" s="200">
        <f t="shared" si="0"/>
        <v>0.9666666666666642</v>
      </c>
      <c r="AQ21" s="201">
        <f t="shared" si="2"/>
        <v>291.9333333333326</v>
      </c>
      <c r="AR21" s="201">
        <f t="shared" si="1"/>
        <v>257.1333333333327</v>
      </c>
    </row>
    <row r="22" spans="8:8" ht="15.0" customHeight="1">
      <c r="B22" s="235" t="s">
        <v>24</v>
      </c>
      <c r="C22" s="236">
        <f>INDEX($AR$6:$AR$26,(ROUNDUP(((C21-92.5)/(20/72))+1,0)),1)</f>
        <v>252.699999999999</v>
      </c>
      <c r="D22" s="237">
        <f>INDEX($AR$6:$AR$26,(ROUNDUP(((D21-92.5)/(20/72))+1,0)),1)</f>
        <v>258.6111111111106</v>
      </c>
      <c r="F22" s="235" t="s">
        <v>24</v>
      </c>
      <c r="G22" s="236">
        <f>INDEX($AR$6:$AR$33,(ROUNDUP(((G21-92.5)/(20/72))+1,0)),1)</f>
        <v>257.1333333333327</v>
      </c>
      <c r="H22" s="237">
        <f>INDEX($AR$6:$AR$33,(ROUNDUP(((H21-92.5)/(20/72))+1,0)),1)</f>
        <v>262.3055555555553</v>
      </c>
      <c r="J22" s="235" t="s">
        <v>24</v>
      </c>
      <c r="K22" s="236">
        <f>INDEX($AR$6:$AR$33,(ROUNDUP(((K21-92.5)/(20/72))+1,0)),1)</f>
        <v>258.6111111111106</v>
      </c>
      <c r="L22" s="237">
        <f>INDEX($AR$6:$AR$33,(ROUNDUP(((L21-92.5)/(20/72))+1,0)),1)</f>
        <v>264.5222222222222</v>
      </c>
      <c r="N22" s="180"/>
      <c r="O22" s="251"/>
      <c r="P22" s="221">
        <v>72.0</v>
      </c>
      <c r="Q22" s="222">
        <v>260.1</v>
      </c>
      <c r="R22" s="223"/>
      <c r="S22" s="224"/>
      <c r="T22" s="221"/>
      <c r="U22" s="222"/>
      <c r="V22" s="223"/>
      <c r="W22" s="224"/>
      <c r="X22" s="221"/>
      <c r="Y22" s="222"/>
      <c r="Z22" s="223"/>
      <c r="AA22" s="224"/>
      <c r="AC22" s="231">
        <v>282.0</v>
      </c>
      <c r="AD22" s="257">
        <f>$K$2*10.3</f>
        <v>10.3</v>
      </c>
      <c r="AE22" s="260"/>
      <c r="AF22" s="233">
        <v>259.25</v>
      </c>
      <c r="AG22" s="233">
        <v>2.8</v>
      </c>
      <c r="AH22" s="233">
        <v>3.0</v>
      </c>
      <c r="AJ22" s="234">
        <f t="shared" si="4"/>
        <v>97.4624060150376</v>
      </c>
      <c r="AK22" s="234">
        <f t="shared" si="4"/>
        <v>1.0526315789473684</v>
      </c>
      <c r="AL22" s="234">
        <f t="shared" si="4"/>
        <v>1.1278195488721805</v>
      </c>
      <c r="AP22" s="200">
        <f t="shared" si="0"/>
        <v>0.9694444444444422</v>
      </c>
      <c r="AQ22" s="201">
        <f t="shared" si="2"/>
        <v>292.77222222222156</v>
      </c>
      <c r="AR22" s="201">
        <f t="shared" si="1"/>
        <v>257.87222222222164</v>
      </c>
    </row>
    <row r="23" spans="8:8" ht="15.0" customHeight="1">
      <c r="B23" s="239" t="s">
        <v>328</v>
      </c>
      <c r="C23" s="240" t="s">
        <v>363</v>
      </c>
      <c r="D23" s="241" t="s">
        <v>364</v>
      </c>
      <c r="F23" s="239" t="s">
        <v>328</v>
      </c>
      <c r="G23" s="240" t="s">
        <v>363</v>
      </c>
      <c r="H23" s="241" t="s">
        <v>364</v>
      </c>
      <c r="J23" s="239" t="s">
        <v>328</v>
      </c>
      <c r="K23" s="240" t="s">
        <v>363</v>
      </c>
      <c r="L23" s="241" t="s">
        <v>364</v>
      </c>
      <c r="N23" s="180"/>
      <c r="O23" s="251"/>
      <c r="P23" s="221"/>
      <c r="Q23" s="222"/>
      <c r="R23" s="223"/>
      <c r="S23" s="224"/>
      <c r="T23" s="221"/>
      <c r="U23" s="222"/>
      <c r="V23" s="223"/>
      <c r="W23" s="224"/>
      <c r="X23" s="221"/>
      <c r="Y23" s="222"/>
      <c r="Z23" s="223"/>
      <c r="AA23" s="224"/>
      <c r="AC23" s="231">
        <v>284.0</v>
      </c>
      <c r="AD23" s="261">
        <f>$K$2*10.4</f>
        <v>10.4</v>
      </c>
      <c r="AE23" s="260"/>
      <c r="AF23" s="233">
        <v>260.88</v>
      </c>
      <c r="AG23" s="233">
        <v>2.8</v>
      </c>
      <c r="AH23" s="233">
        <v>3.0</v>
      </c>
      <c r="AJ23" s="234">
        <f t="shared" si="4"/>
        <v>98.07518796992481</v>
      </c>
      <c r="AK23" s="234">
        <f t="shared" si="4"/>
        <v>1.0526315789473684</v>
      </c>
      <c r="AL23" s="234">
        <f t="shared" si="4"/>
        <v>1.1278195488721805</v>
      </c>
      <c r="AP23" s="200">
        <f t="shared" si="5" ref="AP23:AP24">AP24-0.2/72</f>
        <v>0.9722222222222202</v>
      </c>
      <c r="AQ23" s="201">
        <f t="shared" si="2"/>
        <v>293.6111111111105</v>
      </c>
      <c r="AR23" s="201">
        <f t="shared" si="1"/>
        <v>258.6111111111106</v>
      </c>
    </row>
    <row r="24" spans="8:8" ht="15.0" customHeight="1">
      <c r="B24" s="242" t="s">
        <v>331</v>
      </c>
      <c r="C24" s="242"/>
      <c r="D24" s="242"/>
      <c r="F24" s="242" t="s">
        <v>348</v>
      </c>
      <c r="G24" s="242"/>
      <c r="H24" s="242"/>
      <c r="J24" s="242" t="s">
        <v>348</v>
      </c>
      <c r="K24" s="242"/>
      <c r="L24" s="242"/>
      <c r="N24" s="180"/>
      <c r="P24" s="243">
        <f>VLOOKUP($G$2,P19:Q23,2)</f>
        <v>257.9</v>
      </c>
      <c r="Q24" s="244"/>
      <c r="R24" s="245"/>
      <c r="S24" s="246"/>
      <c r="T24" s="243">
        <f>VLOOKUP($G$2,T19:U23,2)</f>
        <v>0.0</v>
      </c>
      <c r="U24" s="244"/>
      <c r="V24" s="245">
        <f>VLOOKUP($G$2,V19:W23,2)</f>
        <v>0.0</v>
      </c>
      <c r="W24" s="246"/>
      <c r="X24" s="243">
        <f>VLOOKUP($G$2,X19:Y23,2)</f>
        <v>0.0</v>
      </c>
      <c r="Y24" s="244"/>
      <c r="Z24" s="245">
        <f>VLOOKUP($G$2,Z19:AA23,2)</f>
        <v>0.0</v>
      </c>
      <c r="AA24" s="246"/>
      <c r="AP24" s="200">
        <f t="shared" si="5"/>
        <v>0.9749999999999982</v>
      </c>
      <c r="AQ24" s="201">
        <f t="shared" si="2"/>
        <v>294.4499999999995</v>
      </c>
      <c r="AR24" s="201">
        <f t="shared" si="1"/>
        <v>259.3499999999995</v>
      </c>
    </row>
    <row r="25" spans="8:8" ht="15.0" customHeight="1">
      <c r="N25" s="180"/>
      <c r="AP25" s="200">
        <f t="shared" si="6" ref="AP25:AP32">AP26-0.2/72</f>
        <v>0.9777777777777762</v>
      </c>
      <c r="AQ25" s="201">
        <f t="shared" si="2"/>
        <v>295.28888888888844</v>
      </c>
      <c r="AR25" s="201">
        <f t="shared" si="1"/>
        <v>260.08888888888845</v>
      </c>
    </row>
    <row r="26" spans="8:8" ht="15.0" customHeight="1">
      <c r="B26" s="206">
        <v>275.0</v>
      </c>
      <c r="C26" s="262" t="s">
        <v>377</v>
      </c>
      <c r="D26" s="263"/>
      <c r="N26" s="180"/>
      <c r="AP26" s="200">
        <f t="shared" si="6"/>
        <v>0.9805555555555542</v>
      </c>
      <c r="AQ26" s="201">
        <f t="shared" si="7" ref="AQ26:AQ33">302*AP26</f>
        <v>296.12777777777734</v>
      </c>
      <c r="AR26" s="201">
        <f t="shared" si="8" ref="AR26:AR33">266*AP26</f>
        <v>260.8277777777774</v>
      </c>
    </row>
    <row r="27" spans="8:8" ht="15.0" customHeight="1">
      <c r="B27" s="218" t="s">
        <v>2</v>
      </c>
      <c r="C27" s="264">
        <f>8.92*K2*SIN(RADIANS($G$2))*(C28*2/(C28+D28))</f>
        <v>0.0</v>
      </c>
      <c r="D27" s="265"/>
      <c r="N27" s="180"/>
      <c r="AP27" s="200">
        <f t="shared" si="6"/>
        <v>0.9833333333333323</v>
      </c>
      <c r="AQ27" s="201">
        <f t="shared" si="7"/>
        <v>296.96666666666636</v>
      </c>
      <c r="AR27" s="201">
        <f t="shared" si="8"/>
        <v>261.5666666666664</v>
      </c>
    </row>
    <row r="28" spans="8:8" ht="15.0" customHeight="1">
      <c r="B28" s="228"/>
      <c r="C28" s="229">
        <f>AJ21-AK21*COS(RADIANS($G$2))</f>
        <v>94.94736842105264</v>
      </c>
      <c r="D28" s="229">
        <f>AJ21+AL21*COS(RADIANS($G$2))</f>
        <v>97.05263157894737</v>
      </c>
      <c r="N28" s="180"/>
      <c r="AP28" s="200">
        <f t="shared" si="6"/>
        <v>0.9861111111111103</v>
      </c>
      <c r="AQ28" s="201">
        <f t="shared" si="7"/>
        <v>297.8055555555553</v>
      </c>
      <c r="AR28" s="201">
        <f t="shared" si="8"/>
        <v>262.3055555555553</v>
      </c>
    </row>
    <row r="29" spans="8:8" ht="15.0" customHeight="1">
      <c r="B29" s="235" t="s">
        <v>24</v>
      </c>
      <c r="C29" s="266">
        <f>P24</f>
        <v>257.9</v>
      </c>
      <c r="D29" s="267"/>
      <c r="N29" s="180"/>
      <c r="AP29" s="200">
        <f t="shared" si="6"/>
        <v>0.9888888888888883</v>
      </c>
      <c r="AQ29" s="201">
        <f t="shared" si="7"/>
        <v>298.6444444444443</v>
      </c>
      <c r="AR29" s="201">
        <f t="shared" si="8"/>
        <v>263.04444444444425</v>
      </c>
    </row>
    <row r="30" spans="8:8" ht="15.0" customHeight="1">
      <c r="B30" s="239" t="s">
        <v>328</v>
      </c>
      <c r="C30" s="268" t="s">
        <v>363</v>
      </c>
      <c r="D30" s="269"/>
      <c r="N30" s="180"/>
      <c r="AP30" s="200">
        <f t="shared" si="6"/>
        <v>0.9916666666666663</v>
      </c>
      <c r="AQ30" s="201">
        <f t="shared" si="7"/>
        <v>299.48333333333323</v>
      </c>
      <c r="AR30" s="201">
        <f t="shared" si="8"/>
        <v>263.78333333333325</v>
      </c>
    </row>
    <row r="31" spans="8:8" ht="15.0" customHeight="1">
      <c r="B31" s="242" t="s">
        <v>376</v>
      </c>
      <c r="C31" s="242"/>
      <c r="D31" s="242"/>
      <c r="N31" s="180"/>
      <c r="AP31" s="200">
        <f t="shared" si="6"/>
        <v>0.9944444444444442</v>
      </c>
      <c r="AQ31" s="201">
        <f t="shared" si="7"/>
        <v>300.32222222222214</v>
      </c>
      <c r="AR31" s="201">
        <f t="shared" si="8"/>
        <v>264.5222222222222</v>
      </c>
    </row>
    <row r="32" spans="8:8" ht="15.0" customHeight="1">
      <c r="N32" s="180"/>
      <c r="AP32" s="200">
        <f t="shared" si="6"/>
        <v>0.9972222222222222</v>
      </c>
      <c r="AQ32" s="201">
        <f t="shared" si="7"/>
        <v>301.1611111111111</v>
      </c>
      <c r="AR32" s="201">
        <f t="shared" si="8"/>
        <v>265.2611111111111</v>
      </c>
    </row>
    <row r="33" spans="8:8" ht="15.0" customHeight="1">
      <c r="A33" s="252"/>
      <c r="B33" s="252"/>
      <c r="C33" s="252"/>
      <c r="D33" s="252"/>
      <c r="E33" s="252"/>
      <c r="F33" s="252"/>
      <c r="G33" s="252"/>
      <c r="H33" s="252"/>
      <c r="I33" s="252"/>
      <c r="J33" s="252"/>
      <c r="K33" s="252"/>
      <c r="L33" s="252"/>
      <c r="M33" s="252"/>
      <c r="N33" s="180"/>
      <c r="O33" s="252"/>
      <c r="P33" s="252"/>
      <c r="Q33" s="252"/>
      <c r="R33" s="252"/>
      <c r="S33" s="252"/>
      <c r="T33" s="252"/>
      <c r="U33" s="252"/>
      <c r="V33" s="252"/>
      <c r="W33" s="252"/>
      <c r="X33" s="252"/>
      <c r="Y33" s="252"/>
      <c r="Z33" s="252"/>
      <c r="AA33" s="252"/>
      <c r="AB33" s="252"/>
      <c r="AC33" s="252"/>
      <c r="AD33" s="252"/>
      <c r="AE33" s="252"/>
      <c r="AF33" s="252"/>
      <c r="AG33" s="252"/>
      <c r="AH33" s="252"/>
      <c r="AI33" s="252"/>
      <c r="AJ33" s="252"/>
      <c r="AK33" s="252"/>
      <c r="AL33" s="252"/>
      <c r="AM33" s="252"/>
      <c r="AN33" s="252"/>
      <c r="AP33" s="200">
        <v>1.0</v>
      </c>
      <c r="AQ33" s="201">
        <f t="shared" si="7"/>
        <v>302.0</v>
      </c>
      <c r="AR33" s="201">
        <f t="shared" si="8"/>
        <v>266.0</v>
      </c>
    </row>
    <row r="34" spans="8:8" ht="15.0" customHeight="1">
      <c r="N34" s="180"/>
    </row>
    <row r="35" spans="8:8" ht="15.0" customHeight="1">
      <c r="F35" s="197" t="s">
        <v>332</v>
      </c>
      <c r="G35" s="197"/>
      <c r="H35" s="197"/>
      <c r="N35" s="180"/>
      <c r="P35" s="198">
        <v>372.0</v>
      </c>
      <c r="Q35" s="198"/>
      <c r="R35" s="198"/>
      <c r="S35" s="198"/>
      <c r="T35" s="199">
        <v>379.0</v>
      </c>
      <c r="U35" s="199"/>
      <c r="V35" s="199"/>
      <c r="W35" s="199"/>
      <c r="X35" s="199">
        <v>381.0</v>
      </c>
      <c r="Y35" s="199"/>
      <c r="Z35" s="199"/>
      <c r="AA35" s="199"/>
    </row>
    <row r="36" spans="8:8" ht="15.0" customHeight="1">
      <c r="F36" s="197"/>
      <c r="G36" s="197"/>
      <c r="H36" s="197"/>
      <c r="N36" s="180"/>
      <c r="P36" s="202" t="s">
        <v>212</v>
      </c>
      <c r="Q36" s="202" t="s">
        <v>125</v>
      </c>
      <c r="R36" s="203" t="s">
        <v>218</v>
      </c>
      <c r="S36" s="203" t="s">
        <v>125</v>
      </c>
      <c r="T36" s="204" t="s">
        <v>212</v>
      </c>
      <c r="U36" s="204" t="s">
        <v>125</v>
      </c>
      <c r="V36" s="205" t="s">
        <v>218</v>
      </c>
      <c r="W36" s="205" t="s">
        <v>125</v>
      </c>
      <c r="X36" s="204" t="s">
        <v>212</v>
      </c>
      <c r="Y36" s="204" t="s">
        <v>125</v>
      </c>
      <c r="Z36" s="205" t="s">
        <v>218</v>
      </c>
      <c r="AA36" s="205" t="s">
        <v>125</v>
      </c>
    </row>
    <row r="37" spans="8:8" ht="15.0" customHeight="1">
      <c r="B37" s="206">
        <v>372.0</v>
      </c>
      <c r="C37" s="207" t="s">
        <v>169</v>
      </c>
      <c r="D37" s="207" t="s">
        <v>170</v>
      </c>
      <c r="F37" s="206">
        <v>379.0</v>
      </c>
      <c r="G37" s="207" t="s">
        <v>169</v>
      </c>
      <c r="H37" s="207" t="s">
        <v>170</v>
      </c>
      <c r="J37" s="206">
        <v>381.0</v>
      </c>
      <c r="K37" s="262" t="s">
        <v>169</v>
      </c>
      <c r="L37" s="263"/>
      <c r="N37" s="180"/>
      <c r="P37" s="208">
        <v>0.0</v>
      </c>
      <c r="Q37" s="209">
        <v>281.0</v>
      </c>
      <c r="R37" s="210">
        <v>0.0</v>
      </c>
      <c r="S37" s="211">
        <v>286.1</v>
      </c>
      <c r="T37" s="216">
        <v>0.0</v>
      </c>
      <c r="U37" s="217">
        <v>291.1</v>
      </c>
      <c r="V37" s="214">
        <v>0.0</v>
      </c>
      <c r="W37" s="215">
        <v>296.1</v>
      </c>
      <c r="X37" s="216">
        <v>0.0</v>
      </c>
      <c r="Y37" s="217">
        <v>294.5</v>
      </c>
      <c r="Z37" s="214">
        <v>0.0</v>
      </c>
      <c r="AA37" s="215">
        <v>299.5</v>
      </c>
    </row>
    <row r="38" spans="8:8" ht="15.0" customHeight="1">
      <c r="B38" s="218" t="s">
        <v>2</v>
      </c>
      <c r="C38" s="219">
        <f>AD39*SIN(RADIANS($G$2))+AE39</f>
        <v>-0.05</v>
      </c>
      <c r="D38" s="220">
        <f>AD39*SIN(RADIANS($G$2))-AE39</f>
        <v>0.05</v>
      </c>
      <c r="F38" s="218" t="s">
        <v>2</v>
      </c>
      <c r="G38" s="219">
        <f>AD40*SIN(RADIANS($G$2))+AE40</f>
        <v>-0.05</v>
      </c>
      <c r="H38" s="220">
        <f>AD40*SIN(RADIANS($G$2))-AE40</f>
        <v>0.05</v>
      </c>
      <c r="J38" s="218" t="s">
        <v>2</v>
      </c>
      <c r="K38" s="264">
        <f>AD41*SIN(RADIANS($G$2))+AE41</f>
        <v>-0.05</v>
      </c>
      <c r="L38" s="265"/>
      <c r="N38" s="180"/>
      <c r="P38" s="221">
        <v>23.0</v>
      </c>
      <c r="Q38" s="222">
        <v>281.9</v>
      </c>
      <c r="R38" s="223">
        <v>32.0</v>
      </c>
      <c r="S38" s="224">
        <v>285.2</v>
      </c>
      <c r="T38" s="212">
        <v>19.0</v>
      </c>
      <c r="U38" s="213">
        <v>291.9</v>
      </c>
      <c r="V38" s="225">
        <v>37.0</v>
      </c>
      <c r="W38" s="226">
        <v>295.3</v>
      </c>
      <c r="X38" s="212">
        <v>35.0</v>
      </c>
      <c r="Y38" s="213">
        <v>295.3</v>
      </c>
      <c r="Z38" s="225">
        <v>27.0</v>
      </c>
      <c r="AA38" s="226">
        <v>298.6</v>
      </c>
      <c r="AD38" s="227" t="s">
        <v>325</v>
      </c>
      <c r="AE38" s="227" t="s">
        <v>105</v>
      </c>
      <c r="AF38" s="227" t="s">
        <v>125</v>
      </c>
      <c r="AG38" s="227" t="s">
        <v>270</v>
      </c>
      <c r="AH38" s="227" t="s">
        <v>271</v>
      </c>
      <c r="AJ38" s="227" t="s">
        <v>125</v>
      </c>
      <c r="AK38" s="227" t="s">
        <v>270</v>
      </c>
      <c r="AL38" s="227" t="s">
        <v>271</v>
      </c>
    </row>
    <row r="39" spans="8:8" ht="15.0" customHeight="1">
      <c r="B39" s="228"/>
      <c r="C39" s="229">
        <f>AJ39-AK39*COS(RADIANS($G$2))</f>
        <v>92.59271523178802</v>
      </c>
      <c r="D39" s="229">
        <f>AJ39+AL39*COS(RADIANS($G$2))</f>
        <v>94.11258278145691</v>
      </c>
      <c r="E39" s="230"/>
      <c r="F39" s="228"/>
      <c r="G39" s="229">
        <f>AJ40-AK40*COS(RADIANS($G$2))</f>
        <v>96.33443708609266</v>
      </c>
      <c r="H39" s="229">
        <f>AJ40+AL40*COS(RADIANS($G$2))</f>
        <v>97.92052980132446</v>
      </c>
      <c r="I39" s="230"/>
      <c r="J39" s="228"/>
      <c r="K39" s="229">
        <f>AJ41-AK41*COS(RADIANS($G$2))</f>
        <v>97.27814569536423</v>
      </c>
      <c r="L39" s="229">
        <f>AJ41+AL41*COS(RADIANS($G$2))</f>
        <v>98.89735099337749</v>
      </c>
      <c r="N39" s="180"/>
      <c r="P39" s="221">
        <v>55.0</v>
      </c>
      <c r="Q39" s="222">
        <v>282.7</v>
      </c>
      <c r="R39" s="223">
        <v>58.0</v>
      </c>
      <c r="S39" s="224">
        <v>284.4</v>
      </c>
      <c r="T39" s="212">
        <v>54.0</v>
      </c>
      <c r="U39" s="213">
        <v>292.8</v>
      </c>
      <c r="V39" s="225">
        <v>63.0</v>
      </c>
      <c r="W39" s="226">
        <v>294.5</v>
      </c>
      <c r="X39" s="212">
        <v>62.0</v>
      </c>
      <c r="Y39" s="213">
        <v>296.1</v>
      </c>
      <c r="Z39" s="225">
        <v>57.0</v>
      </c>
      <c r="AA39" s="226">
        <v>297.8</v>
      </c>
      <c r="AC39" s="231">
        <v>372.0</v>
      </c>
      <c r="AD39" s="232">
        <f>$K$2*9.55</f>
        <v>9.55</v>
      </c>
      <c r="AE39" s="232">
        <f>$K$2*-0.05</f>
        <v>-0.05</v>
      </c>
      <c r="AF39" s="233">
        <v>281.9</v>
      </c>
      <c r="AG39" s="233">
        <v>2.27</v>
      </c>
      <c r="AH39" s="233">
        <v>2.32</v>
      </c>
      <c r="AJ39" s="234">
        <f t="shared" si="9" ref="AJ39:AL41">AF39*100/$X$3</f>
        <v>93.34437086092714</v>
      </c>
      <c r="AK39" s="234">
        <f t="shared" si="9"/>
        <v>0.7516556291390728</v>
      </c>
      <c r="AL39" s="234">
        <f t="shared" si="9"/>
        <v>0.7682119205298013</v>
      </c>
    </row>
    <row r="40" spans="8:8" ht="15.0" customHeight="1">
      <c r="B40" s="235" t="s">
        <v>24</v>
      </c>
      <c r="C40" s="236">
        <f>P42</f>
        <v>281.0</v>
      </c>
      <c r="D40" s="237">
        <f>R42</f>
        <v>286.1</v>
      </c>
      <c r="F40" s="235" t="s">
        <v>24</v>
      </c>
      <c r="G40" s="236">
        <f>T42</f>
        <v>291.1</v>
      </c>
      <c r="H40" s="237">
        <f>V42</f>
        <v>296.1</v>
      </c>
      <c r="J40" s="235" t="s">
        <v>24</v>
      </c>
      <c r="K40" s="236">
        <f>X42</f>
        <v>294.5</v>
      </c>
      <c r="L40" s="237">
        <f>Z42</f>
        <v>299.5</v>
      </c>
      <c r="N40" s="180"/>
      <c r="P40" s="221">
        <v>75.0</v>
      </c>
      <c r="Q40" s="222">
        <v>283.5</v>
      </c>
      <c r="R40" s="223">
        <v>81.0</v>
      </c>
      <c r="S40" s="224">
        <v>283.5</v>
      </c>
      <c r="T40" s="212">
        <v>77.0</v>
      </c>
      <c r="U40" s="213">
        <v>293.6</v>
      </c>
      <c r="V40" s="225">
        <v>84.0</v>
      </c>
      <c r="W40" s="226">
        <v>293.6</v>
      </c>
      <c r="X40" s="212">
        <v>83.0</v>
      </c>
      <c r="Y40" s="213">
        <v>297.0</v>
      </c>
      <c r="Z40" s="225">
        <v>78.0</v>
      </c>
      <c r="AA40" s="226">
        <v>297.0</v>
      </c>
      <c r="AC40" s="231">
        <v>379.0</v>
      </c>
      <c r="AD40" s="232">
        <f>$K$2*9.75</f>
        <v>9.75</v>
      </c>
      <c r="AE40" s="232">
        <f>$K$2*-0.05</f>
        <v>-0.05</v>
      </c>
      <c r="AF40" s="233">
        <v>293.3</v>
      </c>
      <c r="AG40" s="233">
        <v>2.37</v>
      </c>
      <c r="AH40" s="233">
        <v>2.42</v>
      </c>
      <c r="AJ40" s="234">
        <f t="shared" si="9"/>
        <v>97.11920529801324</v>
      </c>
      <c r="AK40" s="234">
        <f t="shared" si="9"/>
        <v>0.7847682119205298</v>
      </c>
      <c r="AL40" s="234">
        <f t="shared" si="9"/>
        <v>0.8013245033112583</v>
      </c>
    </row>
    <row r="41" spans="8:8" ht="15.0" customHeight="1">
      <c r="B41" s="239" t="s">
        <v>328</v>
      </c>
      <c r="C41" s="240" t="s">
        <v>363</v>
      </c>
      <c r="D41" s="241" t="s">
        <v>364</v>
      </c>
      <c r="F41" s="239" t="s">
        <v>328</v>
      </c>
      <c r="G41" s="240" t="s">
        <v>363</v>
      </c>
      <c r="H41" s="241" t="s">
        <v>364</v>
      </c>
      <c r="J41" s="239" t="s">
        <v>328</v>
      </c>
      <c r="K41" s="240" t="s">
        <v>363</v>
      </c>
      <c r="L41" s="241" t="s">
        <v>364</v>
      </c>
      <c r="N41" s="180"/>
      <c r="P41" s="221"/>
      <c r="Q41" s="222"/>
      <c r="R41" s="223"/>
      <c r="S41" s="224"/>
      <c r="T41" s="212"/>
      <c r="U41" s="213"/>
      <c r="V41" s="225"/>
      <c r="W41" s="226"/>
      <c r="X41" s="212"/>
      <c r="Y41" s="213"/>
      <c r="Z41" s="225"/>
      <c r="AA41" s="226"/>
      <c r="AC41" s="231">
        <v>381.0</v>
      </c>
      <c r="AD41" s="232">
        <f>$K$2*9.8</f>
        <v>9.8</v>
      </c>
      <c r="AE41" s="232">
        <f>$K$2*-0.05</f>
        <v>-0.05</v>
      </c>
      <c r="AF41" s="233">
        <v>296.2</v>
      </c>
      <c r="AG41" s="233">
        <v>2.42</v>
      </c>
      <c r="AH41" s="233">
        <v>2.47</v>
      </c>
      <c r="AJ41" s="234">
        <f t="shared" si="9"/>
        <v>98.0794701986755</v>
      </c>
      <c r="AK41" s="234">
        <f t="shared" si="9"/>
        <v>0.8013245033112583</v>
      </c>
      <c r="AL41" s="234">
        <f t="shared" si="9"/>
        <v>0.8178807947019868</v>
      </c>
    </row>
    <row r="42" spans="8:8" ht="15.0" customHeight="1">
      <c r="B42" s="242" t="s">
        <v>329</v>
      </c>
      <c r="C42" s="242"/>
      <c r="D42" s="242"/>
      <c r="F42" s="242" t="s">
        <v>329</v>
      </c>
      <c r="G42" s="242"/>
      <c r="H42" s="242"/>
      <c r="J42" s="242" t="s">
        <v>333</v>
      </c>
      <c r="K42" s="242"/>
      <c r="L42" s="242"/>
      <c r="N42" s="180"/>
      <c r="P42" s="243">
        <f>VLOOKUP($G$2,P37:Q41,2)</f>
        <v>281.0</v>
      </c>
      <c r="Q42" s="244"/>
      <c r="R42" s="245">
        <f>VLOOKUP($G$2,R37:S41,2)</f>
        <v>286.1</v>
      </c>
      <c r="S42" s="246"/>
      <c r="T42" s="247">
        <f>VLOOKUP($G$2,T37:U41,2)</f>
        <v>291.1</v>
      </c>
      <c r="U42" s="248"/>
      <c r="V42" s="249">
        <f>VLOOKUP($G$2,V37:W41,2)</f>
        <v>296.1</v>
      </c>
      <c r="W42" s="250"/>
      <c r="X42" s="247">
        <f>VLOOKUP($G$2,X37:Y41,2)</f>
        <v>294.5</v>
      </c>
      <c r="Y42" s="248"/>
      <c r="Z42" s="249">
        <f>VLOOKUP($G$2,Z37:AA41,2)</f>
        <v>299.5</v>
      </c>
      <c r="AA42" s="250"/>
    </row>
    <row r="43" spans="8:8" ht="15.0" customHeight="1">
      <c r="N43" s="180"/>
    </row>
    <row r="44" spans="8:8" ht="15.0" customHeight="1">
      <c r="A44" s="252"/>
      <c r="B44" s="252"/>
      <c r="C44" s="252"/>
      <c r="D44" s="252"/>
      <c r="E44" s="252"/>
      <c r="F44" s="252"/>
      <c r="G44" s="252"/>
      <c r="H44" s="252"/>
      <c r="I44" s="252"/>
      <c r="J44" s="252"/>
      <c r="K44" s="252"/>
      <c r="L44" s="252"/>
      <c r="M44" s="252"/>
      <c r="N44" s="180"/>
      <c r="O44" s="252"/>
      <c r="P44" s="252"/>
      <c r="Q44" s="252"/>
      <c r="R44" s="252"/>
      <c r="S44" s="252"/>
      <c r="T44" s="252"/>
      <c r="U44" s="252"/>
      <c r="V44" s="252"/>
      <c r="W44" s="252"/>
      <c r="X44" s="252"/>
      <c r="Y44" s="252"/>
      <c r="Z44" s="252"/>
      <c r="AA44" s="252"/>
      <c r="AB44" s="252"/>
      <c r="AC44" s="252"/>
      <c r="AD44" s="252"/>
      <c r="AE44" s="252"/>
      <c r="AF44" s="252"/>
      <c r="AG44" s="252"/>
      <c r="AH44" s="252"/>
      <c r="AI44" s="252"/>
      <c r="AJ44" s="252"/>
      <c r="AK44" s="252"/>
      <c r="AL44" s="252"/>
      <c r="AM44" s="252"/>
      <c r="AN44" s="252"/>
    </row>
    <row r="45" spans="8:8" ht="15.0" customHeight="1">
      <c r="N45" s="180"/>
    </row>
    <row r="46" spans="8:8" ht="15.0" customHeight="1">
      <c r="F46" s="197" t="s">
        <v>334</v>
      </c>
      <c r="G46" s="197"/>
      <c r="H46" s="197"/>
      <c r="N46" s="180"/>
    </row>
    <row r="47" spans="8:8" ht="15.0" customHeight="1">
      <c r="F47" s="197"/>
      <c r="G47" s="197"/>
      <c r="H47" s="197"/>
      <c r="N47" s="180"/>
      <c r="AC47" s="270" t="s">
        <v>30</v>
      </c>
      <c r="AD47" s="271" t="s">
        <v>278</v>
      </c>
      <c r="AE47" s="272" t="s">
        <v>162</v>
      </c>
    </row>
    <row r="48" spans="8:8" ht="15.0" customHeight="1">
      <c r="B48" s="206">
        <v>352.0</v>
      </c>
      <c r="C48" s="207" t="s">
        <v>169</v>
      </c>
      <c r="D48" s="207" t="s">
        <v>170</v>
      </c>
      <c r="F48" s="206">
        <v>354.0</v>
      </c>
      <c r="G48" s="207" t="s">
        <v>169</v>
      </c>
      <c r="H48" s="207" t="s">
        <v>170</v>
      </c>
      <c r="J48" s="206">
        <v>349.0</v>
      </c>
      <c r="K48" s="207" t="s">
        <v>169</v>
      </c>
      <c r="L48" s="207" t="s">
        <v>170</v>
      </c>
      <c r="N48" s="180"/>
      <c r="Q48" s="253" t="s">
        <v>325</v>
      </c>
      <c r="R48" s="254"/>
      <c r="AC48" s="273">
        <v>345.0</v>
      </c>
      <c r="AD48" s="274">
        <v>288.56</v>
      </c>
      <c r="AE48" s="274">
        <v>2.19</v>
      </c>
      <c r="AG48" s="273">
        <v>275.0</v>
      </c>
      <c r="AH48" s="275">
        <v>255.262</v>
      </c>
    </row>
    <row r="49" spans="8:8" ht="15.0" customHeight="1">
      <c r="B49" s="218" t="s">
        <v>365</v>
      </c>
      <c r="C49" s="219">
        <f>$Q$51*SIN(RADIANS($G$2))+C52</f>
        <v>0.15</v>
      </c>
      <c r="D49" s="220">
        <f>$Q$51*SIN(RADIANS($G$2))+D52</f>
        <v>-0.15</v>
      </c>
      <c r="F49" s="218" t="s">
        <v>365</v>
      </c>
      <c r="G49" s="219">
        <f>$Q$52*SIN(RADIANS($G$2))+G52</f>
        <v>0.9</v>
      </c>
      <c r="H49" s="220">
        <f>$Q$52*SIN(RADIANS($G$2))+H52</f>
        <v>-0.9</v>
      </c>
      <c r="J49" s="218" t="s">
        <v>365</v>
      </c>
      <c r="K49" s="219">
        <f>$Q$50*SIN(RADIANS($G$2))+K52</f>
        <v>0.8</v>
      </c>
      <c r="L49" s="220">
        <f>$Q$50*SIN(RADIANS($G$2))+L52</f>
        <v>-0.8</v>
      </c>
      <c r="N49" s="180"/>
      <c r="Q49" s="227" t="s">
        <v>0</v>
      </c>
      <c r="R49" s="227" t="s">
        <v>1</v>
      </c>
      <c r="S49" s="227" t="s">
        <v>125</v>
      </c>
      <c r="T49" s="227" t="s">
        <v>270</v>
      </c>
      <c r="U49" s="227" t="s">
        <v>271</v>
      </c>
      <c r="W49" s="227" t="s">
        <v>125</v>
      </c>
      <c r="X49" s="227" t="s">
        <v>270</v>
      </c>
      <c r="Y49" s="227" t="s">
        <v>271</v>
      </c>
      <c r="AC49" s="273">
        <v>352.0</v>
      </c>
      <c r="AD49" s="274">
        <v>298.41</v>
      </c>
      <c r="AE49" s="274">
        <v>2.46</v>
      </c>
      <c r="AG49" s="273">
        <v>282.0</v>
      </c>
      <c r="AH49" s="275">
        <v>259.592</v>
      </c>
    </row>
    <row r="50" spans="8:8" ht="15.0" customHeight="1">
      <c r="B50" s="276" t="s">
        <v>3</v>
      </c>
      <c r="C50" s="277">
        <f>$W$51-$X$51*COS(RADIANS($G$2))</f>
        <v>92.95390070921984</v>
      </c>
      <c r="D50" s="278"/>
      <c r="F50" s="276" t="s">
        <v>3</v>
      </c>
      <c r="G50" s="277">
        <f>$W$52-$X$52*COS(RADIANS($G$2))</f>
        <v>94.32269503546097</v>
      </c>
      <c r="H50" s="278"/>
      <c r="J50" s="276" t="s">
        <v>3</v>
      </c>
      <c r="K50" s="277">
        <f>$W$50-$X$50*COS(RADIANS($G$2))</f>
        <v>92.85106382978724</v>
      </c>
      <c r="L50" s="278"/>
      <c r="N50" s="180"/>
      <c r="P50" s="231">
        <v>349.0</v>
      </c>
      <c r="Q50" s="232">
        <f>$K$2*3.2</f>
        <v>3.2</v>
      </c>
      <c r="R50" s="232">
        <f>$K$2*3.2</f>
        <v>3.2</v>
      </c>
      <c r="S50" s="233">
        <v>262.76</v>
      </c>
      <c r="T50" s="233">
        <v>0.92</v>
      </c>
      <c r="U50" s="233">
        <v>0.97</v>
      </c>
      <c r="W50" s="234">
        <f t="shared" si="10" ref="W50:Y52">S50*100/$AD$3</f>
        <v>93.177304964539</v>
      </c>
      <c r="X50" s="234">
        <f t="shared" si="10"/>
        <v>0.3262411347517731</v>
      </c>
      <c r="Y50" s="234">
        <f t="shared" si="10"/>
        <v>0.34397163120567376</v>
      </c>
      <c r="AC50" s="273">
        <v>353.0</v>
      </c>
      <c r="AD50" s="274">
        <v>301.95</v>
      </c>
      <c r="AE50" s="274">
        <v>2.5</v>
      </c>
      <c r="AG50" s="273">
        <v>284.0</v>
      </c>
      <c r="AH50" s="275">
        <v>260.885</v>
      </c>
    </row>
    <row r="51" spans="8:8" ht="15.0" customHeight="1">
      <c r="B51" s="235" t="s">
        <v>367</v>
      </c>
      <c r="C51" s="266">
        <v>269.3</v>
      </c>
      <c r="D51" s="267"/>
      <c r="F51" s="235" t="s">
        <v>367</v>
      </c>
      <c r="G51" s="266">
        <v>273.5</v>
      </c>
      <c r="H51" s="267"/>
      <c r="J51" s="235" t="s">
        <v>367</v>
      </c>
      <c r="K51" s="266">
        <v>269.3</v>
      </c>
      <c r="L51" s="267"/>
      <c r="N51" s="180"/>
      <c r="P51" s="231">
        <v>352.0</v>
      </c>
      <c r="Q51" s="232">
        <f>$K$2*3.2</f>
        <v>3.2</v>
      </c>
      <c r="R51" s="232">
        <f>$K$2*3.2</f>
        <v>3.2</v>
      </c>
      <c r="S51" s="233">
        <v>263.05</v>
      </c>
      <c r="T51" s="233">
        <v>0.92</v>
      </c>
      <c r="U51" s="233">
        <v>0.97</v>
      </c>
      <c r="W51" s="234">
        <f t="shared" si="10"/>
        <v>93.28014184397163</v>
      </c>
      <c r="X51" s="234">
        <f t="shared" si="10"/>
        <v>0.3262411347517731</v>
      </c>
      <c r="Y51" s="234">
        <f t="shared" si="10"/>
        <v>0.34397163120567376</v>
      </c>
    </row>
    <row r="52" spans="8:8" ht="15.0" customHeight="1">
      <c r="C52" s="279">
        <f>$K$2*P63</f>
        <v>0.15</v>
      </c>
      <c r="D52" s="279">
        <f>$K$2*-Z63</f>
        <v>-0.15</v>
      </c>
      <c r="G52" s="279">
        <f>$K$2*P68</f>
        <v>0.9</v>
      </c>
      <c r="H52" s="279">
        <f>$K$2*-Z68</f>
        <v>-0.9</v>
      </c>
      <c r="K52" s="279">
        <f>$K$2*P58</f>
        <v>0.8</v>
      </c>
      <c r="L52" s="279">
        <f>$K$2*-Z58</f>
        <v>-0.8</v>
      </c>
      <c r="N52" s="180"/>
      <c r="P52" s="231">
        <v>354.0</v>
      </c>
      <c r="Q52" s="232">
        <f>$K$2*3.3</f>
        <v>3.3</v>
      </c>
      <c r="R52" s="232">
        <f>$K$2*3.3</f>
        <v>3.3</v>
      </c>
      <c r="S52" s="233">
        <v>266.93</v>
      </c>
      <c r="T52" s="233">
        <v>0.94</v>
      </c>
      <c r="U52" s="233">
        <v>0.99</v>
      </c>
      <c r="W52" s="234">
        <f t="shared" si="10"/>
        <v>94.65602836879432</v>
      </c>
      <c r="X52" s="234">
        <f t="shared" si="10"/>
        <v>0.3333333333333333</v>
      </c>
      <c r="Y52" s="234">
        <f t="shared" si="10"/>
        <v>0.35106382978723405</v>
      </c>
    </row>
    <row r="53" spans="8:8" ht="15.0" customHeight="1">
      <c r="N53" s="180"/>
    </row>
    <row r="54" spans="8:8" ht="15.0" customHeight="1">
      <c r="C54" s="207" t="s">
        <v>169</v>
      </c>
      <c r="D54" s="207" t="s">
        <v>170</v>
      </c>
      <c r="G54" s="207" t="s">
        <v>169</v>
      </c>
      <c r="H54" s="207" t="s">
        <v>170</v>
      </c>
      <c r="K54" s="207" t="s">
        <v>169</v>
      </c>
      <c r="L54" s="207" t="s">
        <v>170</v>
      </c>
      <c r="N54" s="180"/>
      <c r="P54" s="1">
        <v>268.4</v>
      </c>
      <c r="Q54" s="1">
        <v>269.3</v>
      </c>
      <c r="R54" s="1">
        <v>270.1</v>
      </c>
      <c r="AC54" s="280">
        <v>262.76</v>
      </c>
      <c r="AD54" s="280">
        <v>4.12</v>
      </c>
      <c r="AE54" s="280">
        <v>0.86</v>
      </c>
    </row>
    <row r="55" spans="8:8" ht="15.0" customHeight="1">
      <c r="B55" s="218" t="s">
        <v>366</v>
      </c>
      <c r="C55" s="219">
        <f>$R$51*SIN(RADIANS($G$2))+C58</f>
        <v>0.2</v>
      </c>
      <c r="D55" s="220">
        <f>$R$51*SIN(RADIANS($G$2))+D58</f>
        <v>-0.2</v>
      </c>
      <c r="F55" s="218" t="s">
        <v>366</v>
      </c>
      <c r="G55" s="219">
        <f>$R$52*SIN(RADIANS($G$2))+G58</f>
        <v>0.95</v>
      </c>
      <c r="H55" s="220">
        <f>$R$52*SIN(RADIANS($G$2))+H58</f>
        <v>-0.95</v>
      </c>
      <c r="J55" s="218" t="s">
        <v>366</v>
      </c>
      <c r="K55" s="219">
        <f>$R$50*SIN(RADIANS($G$2))+K58</f>
        <v>0.8</v>
      </c>
      <c r="L55" s="220">
        <f>$R$50*SIN(RADIANS($G$2))+L58</f>
        <v>-0.8</v>
      </c>
      <c r="N55" s="180"/>
      <c r="P55" s="9">
        <v>271.8</v>
      </c>
      <c r="Q55" s="9">
        <v>272.6</v>
      </c>
      <c r="R55" s="1">
        <v>273.5</v>
      </c>
      <c r="S55" s="9"/>
      <c r="T55" s="281" t="s">
        <v>169</v>
      </c>
      <c r="V55" s="281" t="s">
        <v>170</v>
      </c>
      <c r="AC55" s="280">
        <v>263.05</v>
      </c>
      <c r="AD55" s="280">
        <v>4.15</v>
      </c>
      <c r="AE55" s="280">
        <v>0.86</v>
      </c>
    </row>
    <row r="56" spans="8:8" ht="15.0" customHeight="1">
      <c r="B56" s="276" t="s">
        <v>3</v>
      </c>
      <c r="C56" s="277">
        <f>$W$51+$Y$51*COS(RADIANS($G$2))</f>
        <v>93.62411347517728</v>
      </c>
      <c r="D56" s="278"/>
      <c r="F56" s="276" t="s">
        <v>3</v>
      </c>
      <c r="G56" s="277">
        <f>$W$52+$Y$52*COS(RADIANS($G$2))</f>
        <v>95.00709219858153</v>
      </c>
      <c r="H56" s="278"/>
      <c r="J56" s="276" t="s">
        <v>3</v>
      </c>
      <c r="K56" s="277">
        <f>$W$50+$Y$50*COS(RADIANS($G$2))</f>
        <v>93.52127659574468</v>
      </c>
      <c r="L56" s="278"/>
      <c r="N56" s="180"/>
      <c r="P56" s="9"/>
      <c r="Q56" s="9"/>
      <c r="R56" s="9"/>
      <c r="S56" s="9"/>
      <c r="T56" s="282"/>
      <c r="V56" s="282"/>
      <c r="AC56" s="280">
        <v>266.93</v>
      </c>
      <c r="AD56" s="280">
        <v>4.0</v>
      </c>
      <c r="AE56" s="280">
        <v>0.87</v>
      </c>
    </row>
    <row r="57" spans="8:8" ht="15.0" customHeight="1">
      <c r="B57" s="235" t="s">
        <v>368</v>
      </c>
      <c r="C57" s="283">
        <v>270.1</v>
      </c>
      <c r="D57" s="284"/>
      <c r="F57" s="235" t="s">
        <v>368</v>
      </c>
      <c r="G57" s="283">
        <v>274.3</v>
      </c>
      <c r="H57" s="284"/>
      <c r="J57" s="235" t="s">
        <v>368</v>
      </c>
      <c r="K57" s="283">
        <v>270.1</v>
      </c>
      <c r="L57" s="284"/>
      <c r="N57" s="180"/>
      <c r="P57" s="285">
        <f>$G$2</f>
        <v>0.0</v>
      </c>
      <c r="Q57" s="286">
        <v>90.0</v>
      </c>
      <c r="R57" s="287">
        <v>60.0</v>
      </c>
      <c r="S57" s="287">
        <v>30.0</v>
      </c>
      <c r="T57" s="287">
        <v>0.0</v>
      </c>
      <c r="U57" s="288" t="s">
        <v>336</v>
      </c>
      <c r="V57" s="287">
        <v>0.0</v>
      </c>
      <c r="W57" s="287">
        <v>30.0</v>
      </c>
      <c r="X57" s="287">
        <v>60.0</v>
      </c>
      <c r="Y57" s="286">
        <v>90.0</v>
      </c>
      <c r="Z57" s="285">
        <f>$G$2</f>
        <v>0.0</v>
      </c>
    </row>
    <row r="58" spans="8:8" ht="15.0" customHeight="1">
      <c r="C58" s="279">
        <f>$K$2*P65</f>
        <v>0.2</v>
      </c>
      <c r="D58" s="279">
        <f>$K$2*-Z65</f>
        <v>-0.2</v>
      </c>
      <c r="G58" s="279">
        <f>$K$2*P70</f>
        <v>0.95</v>
      </c>
      <c r="H58" s="279">
        <f>$K$2*-Z70</f>
        <v>-0.95</v>
      </c>
      <c r="K58" s="279">
        <f>$K$2*P60</f>
        <v>0.8</v>
      </c>
      <c r="L58" s="279">
        <f>$K$2*-Z60</f>
        <v>-0.8</v>
      </c>
      <c r="N58" s="180"/>
      <c r="P58" s="289">
        <f>T58*(P57-S57)*(P57-R57)*(P57-Q57)/((T57-S57)*(T57-R57)*(T57-Q57))+S58*(P57-T57)*(P57-R57)*(P57-Q57)/((S57-T57)*(S57-R57)*(S57-Q57))+R58*(P57-T57)*(P57-S57)*(P57-Q57)/((R57-T57)*(R57-S57)*(R57-Q57))+Q58*(P57-T57)*(P57-S57)*(P57-R57)/((Q57-T57)*(Q57-S57)*(Q57-R57))</f>
        <v>0.8</v>
      </c>
      <c r="Q58" s="290">
        <v>0.96</v>
      </c>
      <c r="R58" s="290">
        <v>0.92</v>
      </c>
      <c r="S58" s="290">
        <v>0.9</v>
      </c>
      <c r="T58" s="290">
        <v>0.8</v>
      </c>
      <c r="U58" s="288"/>
      <c r="V58" s="290">
        <v>0.8</v>
      </c>
      <c r="W58" s="290">
        <v>0.9</v>
      </c>
      <c r="X58" s="290">
        <v>0.92</v>
      </c>
      <c r="Y58" s="290">
        <v>0.96</v>
      </c>
      <c r="Z58" s="289">
        <f>V58*(Z57-W57)*(Z57-X57)*(Z57-Y57)/((V57-W57)*(V57-X57)*(V57-Y57))+W58*(Z57-V57)*(Z57-X57)*(Z57-Y57)/((W57-V57)*(W57-X57)*(W57-Y57))+X58*(Z57-V57)*(Z57-W57)*(Z57-Y57)/((X57-V57)*(X57-W57)*(X57-Y57))+Y58*(Z57-V57)*(Z57-W57)*(Z57-X57)/((Y57-V57)*(Y57-W57)*(Y57-X57))</f>
        <v>0.8</v>
      </c>
    </row>
    <row r="59" spans="8:8" ht="15.0" customHeight="1">
      <c r="B59" s="242" t="s">
        <v>373</v>
      </c>
      <c r="C59" s="242"/>
      <c r="D59" s="242"/>
      <c r="F59" s="242" t="s">
        <v>373</v>
      </c>
      <c r="G59" s="242"/>
      <c r="H59" s="242"/>
      <c r="J59" s="242" t="s">
        <v>373</v>
      </c>
      <c r="K59" s="242"/>
      <c r="L59" s="242"/>
      <c r="N59" s="180"/>
      <c r="P59" s="285">
        <f>$G$2</f>
        <v>0.0</v>
      </c>
      <c r="Q59" s="286">
        <v>90.0</v>
      </c>
      <c r="R59" s="287">
        <v>60.0</v>
      </c>
      <c r="S59" s="287">
        <v>30.0</v>
      </c>
      <c r="T59" s="287">
        <v>0.0</v>
      </c>
      <c r="U59" s="288" t="s">
        <v>337</v>
      </c>
      <c r="V59" s="287">
        <v>0.0</v>
      </c>
      <c r="W59" s="287">
        <v>30.0</v>
      </c>
      <c r="X59" s="287">
        <v>60.0</v>
      </c>
      <c r="Y59" s="286">
        <v>90.0</v>
      </c>
      <c r="Z59" s="285">
        <f>$G$2</f>
        <v>0.0</v>
      </c>
    </row>
    <row r="60" spans="8:8" ht="15.0" customHeight="1">
      <c r="B60" s="242" t="s">
        <v>374</v>
      </c>
      <c r="C60" s="242"/>
      <c r="D60" s="242"/>
      <c r="F60" s="242" t="s">
        <v>374</v>
      </c>
      <c r="G60" s="242"/>
      <c r="H60" s="242"/>
      <c r="J60" s="242" t="s">
        <v>374</v>
      </c>
      <c r="K60" s="242"/>
      <c r="L60" s="242"/>
      <c r="N60" s="180"/>
      <c r="P60" s="289">
        <f>T60*(P59-S59)*(P59-R59)*(P59-Q59)/((T59-S59)*(T59-R59)*(T59-Q59))+S60*(P59-T59)*(P59-R59)*(P59-Q59)/((S59-T59)*(S59-R59)*(S59-Q59))+R60*(P59-T59)*(P59-S59)*(P59-Q59)/((R59-T59)*(R59-S59)*(R59-Q59))+Q60*(P59-T59)*(P59-S59)*(P59-R59)/((Q59-T59)*(Q59-S59)*(Q59-R59))</f>
        <v>0.8</v>
      </c>
      <c r="Q60" s="290">
        <v>0.8</v>
      </c>
      <c r="R60" s="290">
        <v>0.83</v>
      </c>
      <c r="S60" s="290">
        <v>0.8</v>
      </c>
      <c r="T60" s="290">
        <v>0.8</v>
      </c>
      <c r="U60" s="288"/>
      <c r="V60" s="290">
        <v>0.8</v>
      </c>
      <c r="W60" s="290">
        <v>0.8</v>
      </c>
      <c r="X60" s="290">
        <v>0.83</v>
      </c>
      <c r="Y60" s="290">
        <v>0.8</v>
      </c>
      <c r="Z60" s="289">
        <f>V60*(Z59-W59)*(Z59-X59)*(Z59-Y59)/((V59-W59)*(V59-X59)*(V59-Y59))+W60*(Z59-V59)*(Z59-X59)*(Z59-Y59)/((W59-V59)*(W59-X59)*(W59-Y59))+X60*(Z59-V59)*(Z59-W59)*(Z59-Y59)/((X59-V59)*(X59-W59)*(X59-Y59))+Y60*(Z59-V59)*(Z59-W59)*(Z59-X59)/((Y59-V59)*(Y59-W59)*(Y59-X59))</f>
        <v>0.8</v>
      </c>
    </row>
    <row r="61" spans="8:8" ht="15.0" customHeight="1">
      <c r="N61" s="180"/>
      <c r="Q61" s="291"/>
      <c r="R61" s="291"/>
      <c r="S61" s="291"/>
      <c r="T61" s="291"/>
      <c r="U61" s="291"/>
      <c r="V61" s="291"/>
      <c r="W61" s="291"/>
      <c r="X61" s="291"/>
      <c r="Y61" s="291"/>
    </row>
    <row r="62" spans="8:8" ht="15.0" customHeight="1">
      <c r="N62" s="180"/>
      <c r="P62" s="285">
        <f>$G$2</f>
        <v>0.0</v>
      </c>
      <c r="Q62" s="286">
        <v>90.0</v>
      </c>
      <c r="R62" s="287">
        <v>60.0</v>
      </c>
      <c r="S62" s="287">
        <v>30.0</v>
      </c>
      <c r="T62" s="287">
        <v>0.0</v>
      </c>
      <c r="U62" s="288" t="s">
        <v>326</v>
      </c>
      <c r="V62" s="287">
        <v>0.0</v>
      </c>
      <c r="W62" s="287">
        <v>30.0</v>
      </c>
      <c r="X62" s="287">
        <v>60.0</v>
      </c>
      <c r="Y62" s="286">
        <v>90.0</v>
      </c>
      <c r="Z62" s="285">
        <f>$G$2</f>
        <v>0.0</v>
      </c>
    </row>
    <row r="63" spans="8:8" ht="15.0" customHeight="1">
      <c r="N63" s="180"/>
      <c r="P63" s="289">
        <f>T63*(P62-S62)*(P62-R62)*(P62-Q62)/((T62-S62)*(T62-R62)*(T62-Q62))+S63*(P62-T62)*(P62-R62)*(P62-Q62)/((S62-T62)*(S62-R62)*(S62-Q62))+R63*(P62-T62)*(P62-S62)*(P62-Q62)/((R62-T62)*(R62-S62)*(R62-Q62))+Q63*(P62-T62)*(P62-S62)*(P62-R62)/((Q62-T62)*(Q62-S62)*(Q62-R62))</f>
        <v>0.15</v>
      </c>
      <c r="Q63" s="290">
        <v>0.22</v>
      </c>
      <c r="R63" s="290">
        <v>0.16</v>
      </c>
      <c r="S63" s="290">
        <v>0.1</v>
      </c>
      <c r="T63" s="290">
        <v>0.15</v>
      </c>
      <c r="U63" s="288"/>
      <c r="V63" s="290">
        <v>0.15</v>
      </c>
      <c r="W63" s="290">
        <v>0.1</v>
      </c>
      <c r="X63" s="290">
        <v>0.16</v>
      </c>
      <c r="Y63" s="290">
        <v>0.22</v>
      </c>
      <c r="Z63" s="289">
        <f>V63*(Z62-W62)*(Z62-X62)*(Z62-Y62)/((V62-W62)*(V62-X62)*(V62-Y62))+W63*(Z62-V62)*(Z62-X62)*(Z62-Y62)/((W62-V62)*(W62-X62)*(W62-Y62))+X63*(Z62-V62)*(Z62-W62)*(Z62-Y62)/((X62-V62)*(X62-W62)*(X62-Y62))+Y63*(Z62-V62)*(Z62-W62)*(Z62-X62)/((Y62-V62)*(Y62-W62)*(Y62-X62))</f>
        <v>0.15</v>
      </c>
    </row>
    <row r="64" spans="8:8" ht="15.0" customHeight="1">
      <c r="N64" s="180"/>
      <c r="P64" s="285">
        <f>$G$2</f>
        <v>0.0</v>
      </c>
      <c r="Q64" s="286">
        <v>90.0</v>
      </c>
      <c r="R64" s="287">
        <v>60.0</v>
      </c>
      <c r="S64" s="287">
        <v>30.0</v>
      </c>
      <c r="T64" s="287">
        <v>0.0</v>
      </c>
      <c r="U64" s="288" t="s">
        <v>327</v>
      </c>
      <c r="V64" s="287">
        <v>0.0</v>
      </c>
      <c r="W64" s="287">
        <v>30.0</v>
      </c>
      <c r="X64" s="287">
        <v>60.0</v>
      </c>
      <c r="Y64" s="286">
        <v>90.0</v>
      </c>
      <c r="Z64" s="285">
        <f>$G$2</f>
        <v>0.0</v>
      </c>
    </row>
    <row r="65" spans="8:8" ht="15.0" customHeight="1">
      <c r="N65" s="180"/>
      <c r="P65" s="289">
        <f>T65*(P64-S64)*(P64-R64)*(P64-Q64)/((T64-S64)*(T64-R64)*(T64-Q64))+S65*(P64-T64)*(P64-R64)*(P64-Q64)/((S64-T64)*(S64-R64)*(S64-Q64))+R65*(P64-T64)*(P64-S64)*(P64-Q64)/((R64-T64)*(R64-S64)*(R64-Q64))+Q65*(P64-T64)*(P64-S64)*(P64-R64)/((Q64-T64)*(Q64-S64)*(Q64-R64))</f>
        <v>0.2</v>
      </c>
      <c r="Q65" s="290">
        <v>0.1</v>
      </c>
      <c r="R65" s="290">
        <v>0.13</v>
      </c>
      <c r="S65" s="290">
        <v>0.16</v>
      </c>
      <c r="T65" s="290">
        <v>0.2</v>
      </c>
      <c r="U65" s="288"/>
      <c r="V65" s="290">
        <v>0.2</v>
      </c>
      <c r="W65" s="290">
        <v>0.16</v>
      </c>
      <c r="X65" s="290">
        <v>0.13</v>
      </c>
      <c r="Y65" s="290">
        <v>0.1</v>
      </c>
      <c r="Z65" s="289">
        <f>V65*(Z64-W64)*(Z64-X64)*(Z64-Y64)/((V64-W64)*(V64-X64)*(V64-Y64))+W65*(Z64-V64)*(Z64-X64)*(Z64-Y64)/((W64-V64)*(W64-X64)*(W64-Y64))+X65*(Z64-V64)*(Z64-W64)*(Z64-Y64)/((X64-V64)*(X64-W64)*(X64-Y64))+Y65*(Z64-V64)*(Z64-W64)*(Z64-X64)/((Y64-V64)*(Y64-W64)*(Y64-X64))</f>
        <v>0.2</v>
      </c>
    </row>
    <row r="66" spans="8:8" ht="15.0" customHeight="1">
      <c r="N66" s="180"/>
      <c r="Q66" s="291"/>
      <c r="R66" s="291"/>
      <c r="S66" s="291"/>
      <c r="T66" s="291"/>
      <c r="U66" s="291"/>
      <c r="V66" s="291"/>
      <c r="W66" s="291"/>
      <c r="X66" s="291"/>
      <c r="Y66" s="291"/>
    </row>
    <row r="67" spans="8:8" ht="15.0" customHeight="1">
      <c r="N67" s="180"/>
      <c r="P67" s="285">
        <f>$G$2</f>
        <v>0.0</v>
      </c>
      <c r="Q67" s="286">
        <v>90.0</v>
      </c>
      <c r="R67" s="287">
        <v>60.0</v>
      </c>
      <c r="S67" s="287">
        <v>30.0</v>
      </c>
      <c r="T67" s="287">
        <v>0.0</v>
      </c>
      <c r="U67" s="288" t="s">
        <v>338</v>
      </c>
      <c r="V67" s="287">
        <v>0.0</v>
      </c>
      <c r="W67" s="287">
        <v>30.0</v>
      </c>
      <c r="X67" s="287">
        <v>60.0</v>
      </c>
      <c r="Y67" s="286">
        <v>90.0</v>
      </c>
      <c r="Z67" s="285">
        <f>$G$2</f>
        <v>0.0</v>
      </c>
    </row>
    <row r="68" spans="8:8" ht="15.0" customHeight="1">
      <c r="N68" s="180"/>
      <c r="P68" s="289">
        <f>T68*(P67-S67)*(P67-R67)*(P67-Q67)/((T67-S67)*(T67-R67)*(T67-Q67))+S68*(P67-T67)*(P67-R67)*(P67-Q67)/((S67-T67)*(S67-R67)*(S67-Q67))+R68*(P67-T67)*(P67-S67)*(P67-Q67)/((R67-T67)*(R67-S67)*(R67-Q67))+Q68*(P67-T67)*(P67-S67)*(P67-R67)/((Q67-T67)*(Q67-S67)*(Q67-R67))</f>
        <v>0.9</v>
      </c>
      <c r="Q68" s="290">
        <v>0.9</v>
      </c>
      <c r="R68" s="290">
        <v>0.85</v>
      </c>
      <c r="S68" s="290">
        <v>0.8</v>
      </c>
      <c r="T68" s="290">
        <v>0.9</v>
      </c>
      <c r="U68" s="288"/>
      <c r="V68" s="290">
        <v>0.9</v>
      </c>
      <c r="W68" s="290">
        <v>0.8</v>
      </c>
      <c r="X68" s="290">
        <v>0.85</v>
      </c>
      <c r="Y68" s="290">
        <v>0.9</v>
      </c>
      <c r="Z68" s="289">
        <f>V68*(Z67-W67)*(Z67-X67)*(Z67-Y67)/((V67-W67)*(V67-X67)*(V67-Y67))+W68*(Z67-V67)*(Z67-X67)*(Z67-Y67)/((W67-V67)*(W67-X67)*(W67-Y67))+X68*(Z67-V67)*(Z67-W67)*(Z67-Y67)/((X67-V67)*(X67-W67)*(X67-Y67))+Y68*(Z67-V67)*(Z67-W67)*(Z67-X67)/((Y67-V67)*(Y67-W67)*(Y67-X67))</f>
        <v>0.9</v>
      </c>
    </row>
    <row r="69" spans="8:8" ht="15.0" customHeight="1">
      <c r="N69" s="180"/>
      <c r="P69" s="285">
        <f>$G$2</f>
        <v>0.0</v>
      </c>
      <c r="Q69" s="286">
        <v>90.0</v>
      </c>
      <c r="R69" s="287">
        <v>60.0</v>
      </c>
      <c r="S69" s="287">
        <v>30.0</v>
      </c>
      <c r="T69" s="287">
        <v>0.0</v>
      </c>
      <c r="U69" s="288" t="s">
        <v>339</v>
      </c>
      <c r="V69" s="287">
        <v>0.0</v>
      </c>
      <c r="W69" s="287">
        <v>30.0</v>
      </c>
      <c r="X69" s="287">
        <v>60.0</v>
      </c>
      <c r="Y69" s="286">
        <v>90.0</v>
      </c>
      <c r="Z69" s="285">
        <f>$G$2</f>
        <v>0.0</v>
      </c>
    </row>
    <row r="70" spans="8:8" ht="15.0" customHeight="1">
      <c r="N70" s="180"/>
      <c r="P70" s="289">
        <f>T70*(P69-S69)*(P69-R69)*(P69-Q69)/((T69-S69)*(T69-R69)*(T69-Q69))+S70*(P69-T69)*(P69-R69)*(P69-Q69)/((S69-T69)*(S69-R69)*(S69-Q69))+R70*(P69-T69)*(P69-S69)*(P69-Q69)/((R69-T69)*(R69-S69)*(R69-Q69))+Q70*(P69-T69)*(P69-S69)*(P69-R69)/((Q69-T69)*(Q69-S69)*(Q69-R69))</f>
        <v>0.95</v>
      </c>
      <c r="Q70" s="290">
        <v>0.9</v>
      </c>
      <c r="R70" s="290">
        <v>0.85</v>
      </c>
      <c r="S70" s="290">
        <v>0.9</v>
      </c>
      <c r="T70" s="290">
        <v>0.95</v>
      </c>
      <c r="U70" s="288"/>
      <c r="V70" s="290">
        <v>0.95</v>
      </c>
      <c r="W70" s="290">
        <v>0.9</v>
      </c>
      <c r="X70" s="290">
        <v>0.85</v>
      </c>
      <c r="Y70" s="290">
        <v>0.9</v>
      </c>
      <c r="Z70" s="289">
        <f>V70*(Z69-W69)*(Z69-X69)*(Z69-Y69)/((V69-W69)*(V69-X69)*(V69-Y69))+W70*(Z69-V69)*(Z69-X69)*(Z69-Y69)/((W69-V69)*(W69-X69)*(W69-Y69))+X70*(Z69-V69)*(Z69-W69)*(Z69-Y69)/((X69-V69)*(X69-W69)*(X69-Y69))+Y70*(Z69-V69)*(Z69-W69)*(Z69-X69)/((Y69-V69)*(Y69-W69)*(Y69-X69))</f>
        <v>0.95</v>
      </c>
    </row>
    <row r="71" spans="8:8" ht="15.0" customHeight="1">
      <c r="N71" s="180"/>
    </row>
    <row r="72" spans="8:8" ht="15.0" customHeight="1">
      <c r="N72" s="180"/>
    </row>
    <row r="73" spans="8:8" ht="15.0" customHeight="1">
      <c r="N73" s="180"/>
    </row>
    <row r="74" spans="8:8" ht="15.0" customHeight="1">
      <c r="N74" s="180"/>
    </row>
    <row r="75" spans="8:8" ht="15.0" customHeight="1">
      <c r="N75" s="180"/>
    </row>
    <row r="76" spans="8:8" ht="15.0" customHeight="1">
      <c r="N76" s="180"/>
    </row>
    <row r="77" spans="8:8" ht="15.0" customHeight="1">
      <c r="A77" s="252"/>
      <c r="B77" s="252"/>
      <c r="C77" s="252"/>
      <c r="D77" s="252"/>
      <c r="E77" s="252"/>
      <c r="F77" s="252"/>
      <c r="G77" s="252"/>
      <c r="H77" s="252"/>
      <c r="I77" s="252"/>
      <c r="J77" s="252"/>
      <c r="K77" s="252"/>
      <c r="L77" s="252"/>
      <c r="M77" s="252"/>
      <c r="N77" s="180"/>
      <c r="O77" s="252"/>
      <c r="P77" s="252"/>
      <c r="Q77" s="252"/>
      <c r="R77" s="252"/>
      <c r="S77" s="252"/>
      <c r="T77" s="252"/>
      <c r="U77" s="252"/>
      <c r="V77" s="252"/>
      <c r="W77" s="252"/>
      <c r="X77" s="252"/>
      <c r="Y77" s="252"/>
      <c r="Z77" s="252"/>
      <c r="AA77" s="252"/>
      <c r="AB77" s="252"/>
      <c r="AC77" s="252"/>
      <c r="AD77" s="252"/>
      <c r="AE77" s="252"/>
      <c r="AF77" s="252"/>
      <c r="AG77" s="252"/>
      <c r="AH77" s="252"/>
      <c r="AI77" s="252"/>
      <c r="AJ77" s="252"/>
      <c r="AK77" s="252"/>
      <c r="AL77" s="252"/>
      <c r="AM77" s="252"/>
      <c r="AN77" s="252"/>
    </row>
    <row r="78" spans="8:8" ht="15.0" customHeight="1"/>
    <row r="79" spans="8:8" ht="15.0" customHeight="1"/>
    <row r="80" spans="8:8" ht="15.0" customHeight="1"/>
    <row r="81" spans="8:8" ht="15.0" customHeight="1"/>
    <row r="82" spans="8:8" ht="15.0" customHeight="1"/>
    <row r="83" spans="8:8" ht="15.0" customHeight="1"/>
    <row r="84" spans="8:8" ht="15.0" customHeight="1"/>
    <row r="85" spans="8:8" ht="15.0" customHeight="1"/>
    <row r="86" spans="8:8" ht="15.0" customHeight="1"/>
    <row r="87" spans="8:8" ht="15.0" customHeight="1"/>
    <row r="88" spans="8:8" ht="15.0" customHeight="1"/>
    <row r="89" spans="8:8" ht="15.0" customHeight="1"/>
    <row r="90" spans="8:8" ht="15.0" customHeight="1"/>
    <row r="91" spans="8:8" ht="15.0" customHeight="1"/>
    <row r="92" spans="8:8" ht="15.0" customHeight="1"/>
    <row r="93" spans="8:8" ht="15.0" customHeight="1"/>
    <row r="94" spans="8:8" ht="15.0" customHeight="1"/>
    <row r="95" spans="8:8" ht="15.0" customHeight="1"/>
    <row r="96" spans="8:8" ht="15.0" customHeight="1"/>
    <row r="97" spans="8:8" ht="15.0" customHeight="1"/>
    <row r="98" spans="8:8" ht="15.0" customHeight="1"/>
    <row r="99" spans="8:8" ht="15.0" customHeight="1"/>
    <row r="100" spans="8:8" ht="15.0" customHeight="1"/>
    <row r="101" spans="8:8" ht="15.0" customHeight="1"/>
    <row r="102" spans="8:8" ht="15.0" customHeight="1"/>
    <row r="103" spans="8:8" ht="15.0" customHeight="1"/>
    <row r="104" spans="8:8" ht="15.0" customHeight="1"/>
    <row r="105" spans="8:8" ht="15.0" customHeight="1"/>
    <row r="106" spans="8:8" ht="15.0" customHeight="1"/>
    <row r="107" spans="8:8" ht="15.0" customHeight="1"/>
    <row r="108" spans="8:8" ht="15.0" customHeight="1"/>
    <row r="109" spans="8:8" ht="15.0" customHeight="1"/>
    <row r="110" spans="8:8" ht="15.0" customHeight="1"/>
    <row r="111" spans="8:8" ht="15.0" customHeight="1"/>
    <row r="112" spans="8:8" ht="15.0" customHeight="1"/>
    <row r="113" spans="8:8" ht="15.0" customHeight="1"/>
    <row r="114" spans="8:8" ht="15.0" customHeight="1"/>
    <row r="115" spans="8:8" ht="15.0" customHeight="1"/>
    <row r="116" spans="8:8" ht="15.0" customHeight="1"/>
    <row r="117" spans="8:8" ht="15.0" customHeight="1"/>
    <row r="118" spans="8:8" ht="15.0" customHeight="1"/>
    <row r="119" spans="8:8" ht="15.0" customHeight="1"/>
    <row r="120" spans="8:8" ht="15.0" customHeight="1"/>
    <row r="121" spans="8:8" ht="15.0" customHeight="1"/>
    <row r="122" spans="8:8" ht="15.0" customHeight="1"/>
    <row r="123" spans="8:8" ht="15.0" customHeight="1"/>
    <row r="124" spans="8:8" ht="15.0" customHeight="1"/>
    <row r="125" spans="8:8" ht="15.0" customHeight="1"/>
    <row r="126" spans="8:8" ht="15.0" customHeight="1"/>
    <row r="127" spans="8:8" ht="15.0" customHeight="1"/>
    <row r="128" spans="8:8" ht="15.0" customHeight="1"/>
    <row r="129" spans="8:8" ht="15.0" customHeight="1"/>
    <row r="130" spans="8:8" ht="15.0" customHeight="1"/>
    <row r="131" spans="8:8" ht="15.0" customHeight="1"/>
    <row r="132" spans="8:8" ht="15.0" customHeight="1"/>
    <row r="133" spans="8:8" ht="15.0" customHeight="1"/>
    <row r="134" spans="8:8" ht="15.0" customHeight="1"/>
    <row r="135" spans="8:8" ht="15.0" customHeight="1"/>
    <row r="136" spans="8:8" ht="15.0" customHeight="1"/>
    <row r="137" spans="8:8" ht="15.0" customHeight="1"/>
    <row r="138" spans="8:8" ht="15.0" customHeight="1"/>
    <row r="139" spans="8:8" ht="15.0" customHeight="1"/>
    <row r="140" spans="8:8" ht="15.0" customHeight="1"/>
    <row r="141" spans="8:8" ht="15.0" customHeight="1"/>
    <row r="142" spans="8:8" ht="15.0" customHeight="1"/>
    <row r="143" spans="8:8" ht="15.0" customHeight="1"/>
    <row r="144" spans="8:8" ht="15.0" customHeight="1"/>
    <row r="145" spans="8:8" ht="15.0" customHeight="1"/>
    <row r="146" spans="8:8" ht="15.0" customHeight="1"/>
    <row r="147" spans="8:8" ht="15.0" customHeight="1"/>
    <row r="148" spans="8:8" ht="15.0" customHeight="1"/>
    <row r="149" spans="8:8" ht="15.0" customHeight="1"/>
    <row r="150" spans="8:8" ht="15.0" customHeight="1"/>
    <row r="151" spans="8:8" ht="15.0" customHeight="1"/>
    <row r="152" spans="8:8" ht="15.0" customHeight="1"/>
    <row r="153" spans="8:8" ht="15.0" customHeight="1"/>
    <row r="154" spans="8:8" ht="15.0" customHeight="1"/>
    <row r="155" spans="8:8" ht="15.0" customHeight="1"/>
    <row r="156" spans="8:8" ht="15.0" customHeight="1"/>
    <row r="157" spans="8:8" ht="15.0" customHeight="1"/>
    <row r="158" spans="8:8" ht="15.0" customHeight="1"/>
    <row r="159" spans="8:8" ht="15.0" customHeight="1"/>
    <row r="160" spans="8:8" ht="15.0" customHeight="1"/>
    <row r="161" spans="8:8" ht="15.0" customHeight="1"/>
    <row r="162" spans="8:8" ht="15.0" customHeight="1"/>
    <row r="163" spans="8:8" ht="15.0" customHeight="1"/>
    <row r="164" spans="8:8" ht="15.0" customHeight="1"/>
    <row r="165" spans="8:8" ht="15.0" customHeight="1"/>
    <row r="166" spans="8:8" ht="15.0" customHeight="1"/>
    <row r="167" spans="8:8" ht="15.0" customHeight="1"/>
    <row r="168" spans="8:8" ht="15.0" customHeight="1"/>
    <row r="169" spans="8:8" ht="15.0" customHeight="1"/>
    <row r="170" spans="8:8" ht="15.0" customHeight="1"/>
    <row r="171" spans="8:8" ht="15.0" customHeight="1"/>
    <row r="172" spans="8:8" ht="15.0" customHeight="1"/>
    <row r="173" spans="8:8" ht="15.0" customHeight="1"/>
    <row r="174" spans="8:8" ht="15.0" customHeight="1"/>
    <row r="175" spans="8:8" ht="15.0" customHeight="1"/>
    <row r="176" spans="8:8" ht="15.0" customHeight="1"/>
    <row r="177" spans="8:8" ht="15.0" customHeight="1"/>
    <row r="178" spans="8:8" ht="15.0" customHeight="1"/>
    <row r="179" spans="8:8" ht="15.0" customHeight="1"/>
    <row r="180" spans="8:8" ht="15.0" customHeight="1"/>
    <row r="181" spans="8:8" ht="15.0" customHeight="1"/>
    <row r="182" spans="8:8" ht="15.0" customHeight="1"/>
    <row r="183" spans="8:8" ht="15.0" customHeight="1"/>
    <row r="184" spans="8:8" ht="15.0" customHeight="1"/>
    <row r="185" spans="8:8" ht="15.0" customHeight="1"/>
    <row r="186" spans="8:8" ht="15.0" customHeight="1"/>
    <row r="187" spans="8:8" ht="15.0" customHeight="1"/>
    <row r="188" spans="8:8" ht="15.0" customHeight="1"/>
    <row r="189" spans="8:8" ht="15.0" customHeight="1"/>
    <row r="190" spans="8:8" ht="15.0" customHeight="1"/>
    <row r="191" spans="8:8" ht="15.0" customHeight="1"/>
    <row r="192" spans="8:8" ht="15.0" customHeight="1"/>
    <row r="193" spans="8:8" ht="15.0" customHeight="1"/>
    <row r="194" spans="8:8" ht="15.0" customHeight="1"/>
    <row r="195" spans="8:8" ht="15.0" customHeight="1"/>
    <row r="196" spans="8:8" ht="15.0" customHeight="1"/>
    <row r="197" spans="8:8" ht="15.0" customHeight="1"/>
    <row r="198" spans="8:8" ht="15.0" customHeight="1"/>
    <row r="199" spans="8:8" ht="15.0" customHeight="1"/>
    <row r="200" spans="8:8" ht="15.0" customHeight="1"/>
    <row r="201" spans="8:8" ht="15.0" customHeight="1"/>
    <row r="202" spans="8:8" ht="15.0" customHeight="1"/>
    <row r="203" spans="8:8" ht="15.0" customHeight="1"/>
    <row r="204" spans="8:8" ht="15.0" customHeight="1"/>
    <row r="205" spans="8:8" ht="15.0" customHeight="1"/>
    <row r="206" spans="8:8" ht="15.0" customHeight="1"/>
    <row r="207" spans="8:8" ht="15.0" customHeight="1"/>
  </sheetData>
  <mergeCells count="96">
    <mergeCell ref="F6:H7"/>
    <mergeCell ref="T35:W35"/>
    <mergeCell ref="AB15:AN15"/>
    <mergeCell ref="T42:U42"/>
    <mergeCell ref="P6:S6"/>
    <mergeCell ref="X6:AA6"/>
    <mergeCell ref="Z13:AA13"/>
    <mergeCell ref="O77:AA77"/>
    <mergeCell ref="C51:D51"/>
    <mergeCell ref="B2:D3"/>
    <mergeCell ref="F42:H42"/>
    <mergeCell ref="T6:W6"/>
    <mergeCell ref="F35:H36"/>
    <mergeCell ref="P13:Q13"/>
    <mergeCell ref="X13:Y13"/>
    <mergeCell ref="T17:W17"/>
    <mergeCell ref="T13:U13"/>
    <mergeCell ref="B24:D24"/>
    <mergeCell ref="U57:U58"/>
    <mergeCell ref="A77:M77"/>
    <mergeCell ref="AB33:AN33"/>
    <mergeCell ref="A15:M15"/>
    <mergeCell ref="J42:L42"/>
    <mergeCell ref="K37:L37"/>
    <mergeCell ref="F17:H18"/>
    <mergeCell ref="B13:D13"/>
    <mergeCell ref="O44:AA44"/>
    <mergeCell ref="AD19:AE19"/>
    <mergeCell ref="B59:D59"/>
    <mergeCell ref="X24:Y24"/>
    <mergeCell ref="G2:H3"/>
    <mergeCell ref="J2:J3"/>
    <mergeCell ref="T55:T56"/>
    <mergeCell ref="C57:D57"/>
    <mergeCell ref="P2:R3"/>
    <mergeCell ref="U69:U70"/>
    <mergeCell ref="A44:M44"/>
    <mergeCell ref="U59:U60"/>
    <mergeCell ref="F60:H60"/>
    <mergeCell ref="G56:H56"/>
    <mergeCell ref="C56:D56"/>
    <mergeCell ref="J13:L13"/>
    <mergeCell ref="V24:W24"/>
    <mergeCell ref="K51:L51"/>
    <mergeCell ref="R13:S13"/>
    <mergeCell ref="P24:Q24"/>
    <mergeCell ref="P17:S17"/>
    <mergeCell ref="R42:S42"/>
    <mergeCell ref="AD23:AE23"/>
    <mergeCell ref="C27:D27"/>
    <mergeCell ref="P42:Q42"/>
    <mergeCell ref="K50:L50"/>
    <mergeCell ref="K38:L38"/>
    <mergeCell ref="G50:H50"/>
    <mergeCell ref="O33:AA33"/>
    <mergeCell ref="J24:L24"/>
    <mergeCell ref="AB77:AN77"/>
    <mergeCell ref="F2:F3"/>
    <mergeCell ref="R24:S24"/>
    <mergeCell ref="G51:H51"/>
    <mergeCell ref="V13:W13"/>
    <mergeCell ref="U64:U65"/>
    <mergeCell ref="F24:H24"/>
    <mergeCell ref="A33:M33"/>
    <mergeCell ref="V55:V56"/>
    <mergeCell ref="V42:W42"/>
    <mergeCell ref="K2:L3"/>
    <mergeCell ref="C30:D30"/>
    <mergeCell ref="O15:AA15"/>
    <mergeCell ref="X17:AA17"/>
    <mergeCell ref="AD21:AE21"/>
    <mergeCell ref="AD22:AE22"/>
    <mergeCell ref="B31:D31"/>
    <mergeCell ref="AB44:AN44"/>
    <mergeCell ref="U67:U68"/>
    <mergeCell ref="Q48:R48"/>
    <mergeCell ref="F59:H59"/>
    <mergeCell ref="K56:L56"/>
    <mergeCell ref="Z24:AA24"/>
    <mergeCell ref="C50:D50"/>
    <mergeCell ref="J59:L59"/>
    <mergeCell ref="B42:D42"/>
    <mergeCell ref="U62:U63"/>
    <mergeCell ref="C29:D29"/>
    <mergeCell ref="Z42:AA42"/>
    <mergeCell ref="G57:H57"/>
    <mergeCell ref="X35:AA35"/>
    <mergeCell ref="P35:S35"/>
    <mergeCell ref="J60:L60"/>
    <mergeCell ref="K57:L57"/>
    <mergeCell ref="B60:D60"/>
    <mergeCell ref="T24:U24"/>
    <mergeCell ref="X42:Y42"/>
    <mergeCell ref="F46:H47"/>
    <mergeCell ref="C26:D26"/>
    <mergeCell ref="F13:H13"/>
  </mergeCells>
  <pageMargins left="0.7" right="0.7" top="0.75" bottom="0.75" header="0.3" footer="0.3"/>
  <drawing r:id="rId2"/>
  <picture r:id="rId1"/>
</worksheet>
</file>

<file path=xl/worksheets/sheet4.xml><?xml version="1.0" encoding="utf-8"?>
<worksheet xmlns:r="http://schemas.openxmlformats.org/officeDocument/2006/relationships" xmlns="http://schemas.openxmlformats.org/spreadsheetml/2006/main">
  <sheetPr>
    <tabColor rgb="FF92D050"/>
  </sheetPr>
  <dimension ref="A1:AO174"/>
  <sheetViews>
    <sheetView workbookViewId="0" showGridLines="0" showRowColHeaders="0" zoomScale="80">
      <pane ySplit="4" topLeftCell="A25" state="frozen" activePane="bottomLeft"/>
      <selection pane="bottomLeft" activeCell="C26" sqref="C26"/>
    </sheetView>
  </sheetViews>
  <sheetFormatPr defaultRowHeight="12.75" defaultColWidth="10"/>
  <cols>
    <col min="1" max="1" customWidth="1" width="2.8554688" style="1"/>
    <col min="2" max="2" customWidth="1" width="10.7109375" style="1"/>
    <col min="3" max="4" customWidth="1" width="8.5703125" style="1"/>
    <col min="5" max="5" customWidth="1" width="2.8554688" style="1"/>
    <col min="6" max="6" customWidth="1" width="10.7109375" style="1"/>
    <col min="7" max="8" customWidth="1" width="8.5703125" style="1"/>
    <col min="9" max="9" customWidth="1" width="2.8554688" style="1"/>
    <col min="10" max="16384" customWidth="0" width="9.140625" style="1"/>
  </cols>
  <sheetData>
    <row r="1" spans="8:8" ht="7.5" customHeight="1">
      <c r="J1" s="180"/>
    </row>
    <row r="2" spans="8:8" ht="15.0" customHeight="1">
      <c r="B2" s="181" t="s">
        <v>322</v>
      </c>
      <c r="C2" s="182"/>
      <c r="D2" s="183"/>
      <c r="F2" s="184" t="s">
        <v>137</v>
      </c>
      <c r="G2" s="185">
        <v>4.0</v>
      </c>
      <c r="H2" s="185"/>
      <c r="J2" s="180"/>
      <c r="K2" s="190" t="s">
        <v>281</v>
      </c>
      <c r="L2" s="190">
        <v>286.0</v>
      </c>
      <c r="N2" s="190" t="s">
        <v>281</v>
      </c>
      <c r="O2" s="190" t="s">
        <v>28</v>
      </c>
      <c r="P2" s="190" t="s">
        <v>29</v>
      </c>
      <c r="Q2" s="190"/>
      <c r="R2" s="190" t="s">
        <v>323</v>
      </c>
      <c r="S2" s="190" t="s">
        <v>28</v>
      </c>
      <c r="T2" s="190" t="s">
        <v>29</v>
      </c>
      <c r="U2" s="292"/>
      <c r="V2" s="292"/>
    </row>
    <row r="3" spans="8:8" ht="15.0" customHeight="1">
      <c r="B3" s="191"/>
      <c r="C3" s="192"/>
      <c r="D3" s="193"/>
      <c r="F3" s="184"/>
      <c r="G3" s="185"/>
      <c r="H3" s="185"/>
      <c r="J3" s="180"/>
      <c r="K3" s="190" t="s">
        <v>27</v>
      </c>
      <c r="L3" s="190">
        <v>6.0</v>
      </c>
      <c r="N3" s="190">
        <f>L2</f>
        <v>286.0</v>
      </c>
      <c r="O3" s="190">
        <f>N3+10+L3</f>
        <v>302.0</v>
      </c>
      <c r="P3" s="190">
        <f>O3+10</f>
        <v>312.0</v>
      </c>
      <c r="Q3" s="190"/>
      <c r="R3" s="190">
        <f>N3-20</f>
        <v>266.0</v>
      </c>
      <c r="S3" s="190">
        <f>R3+10+L3</f>
        <v>282.0</v>
      </c>
      <c r="T3" s="190">
        <f>S3+10</f>
        <v>292.0</v>
      </c>
      <c r="U3" s="292"/>
      <c r="V3" s="292"/>
    </row>
    <row r="4" spans="8:8" ht="7.5" customHeight="1">
      <c r="J4" s="180"/>
    </row>
    <row r="5" spans="8:8" ht="7.5" customHeight="1">
      <c r="J5" s="180"/>
    </row>
    <row r="6" spans="8:8" ht="15.0" customHeight="1">
      <c r="D6" s="197" t="s">
        <v>340</v>
      </c>
      <c r="E6" s="197"/>
      <c r="F6" s="197"/>
      <c r="J6" s="180"/>
    </row>
    <row r="7" spans="8:8" ht="15.0" customHeight="1">
      <c r="D7" s="197"/>
      <c r="E7" s="197"/>
      <c r="F7" s="197"/>
      <c r="J7" s="180"/>
    </row>
    <row r="8" spans="8:8" ht="15.0" customHeight="1">
      <c r="J8" s="180"/>
    </row>
    <row r="9" spans="8:8" ht="15.0" customHeight="1">
      <c r="B9" s="206">
        <v>327.0</v>
      </c>
      <c r="C9" s="207" t="s">
        <v>169</v>
      </c>
      <c r="D9" s="207" t="s">
        <v>170</v>
      </c>
      <c r="F9" s="206">
        <v>333.0</v>
      </c>
      <c r="G9" s="207" t="s">
        <v>169</v>
      </c>
      <c r="H9" s="207" t="s">
        <v>170</v>
      </c>
      <c r="J9" s="180"/>
      <c r="M9" s="227" t="s">
        <v>325</v>
      </c>
      <c r="N9" s="227" t="s">
        <v>105</v>
      </c>
      <c r="O9" s="227" t="s">
        <v>125</v>
      </c>
      <c r="P9" s="227" t="s">
        <v>270</v>
      </c>
      <c r="Q9" s="227" t="s">
        <v>271</v>
      </c>
      <c r="S9" s="227" t="s">
        <v>125</v>
      </c>
      <c r="T9" s="227" t="s">
        <v>270</v>
      </c>
      <c r="U9" s="227" t="s">
        <v>271</v>
      </c>
    </row>
    <row r="10" spans="8:8" ht="15.0" customHeight="1">
      <c r="B10" s="218" t="s">
        <v>2</v>
      </c>
      <c r="C10" s="219">
        <f>M10*SIN(RADIANS($G$2))+N10</f>
        <v>0.45107614257858997</v>
      </c>
      <c r="D10" s="220">
        <f>M10*SIN(RADIANS($G$2))-N10</f>
        <v>0.6510761425785899</v>
      </c>
      <c r="F10" s="218" t="s">
        <v>2</v>
      </c>
      <c r="G10" s="219">
        <f>M11*SIN(RADIANS($G$2))+N11</f>
        <v>0.511539613640209</v>
      </c>
      <c r="H10" s="220">
        <f>M11*SIN(RADIANS($G$2))-N11</f>
        <v>0.611539613640209</v>
      </c>
      <c r="J10" s="180"/>
      <c r="L10" s="231">
        <v>327.0</v>
      </c>
      <c r="M10" s="293">
        <f>Calculadora!$E$7*7.9</f>
        <v>7.9</v>
      </c>
      <c r="N10" s="293">
        <f>Calculadora!$E$7*-0.1</f>
        <v>-0.1</v>
      </c>
      <c r="O10" s="293">
        <v>279.65</v>
      </c>
      <c r="P10" s="293">
        <v>2.68</v>
      </c>
      <c r="Q10" s="293">
        <v>2.73</v>
      </c>
      <c r="S10" s="234">
        <f>O10*100/$O$3</f>
        <v>92.59933774834435</v>
      </c>
      <c r="T10" s="234">
        <f>P10*100/$O$3</f>
        <v>0.8874172185430463</v>
      </c>
      <c r="U10" s="234">
        <f t="shared" si="0" ref="S10:U11">Q10*100/$O$3</f>
        <v>0.9039735099337748</v>
      </c>
    </row>
    <row r="11" spans="8:8" ht="15.0" customHeight="1">
      <c r="J11" s="180"/>
      <c r="K11" s="251"/>
      <c r="L11" s="231">
        <v>333.0</v>
      </c>
      <c r="M11" s="293">
        <f>Calculadora!$E$7*8.05</f>
        <v>8.05</v>
      </c>
      <c r="N11" s="294">
        <f>Calculadora!$E$7*-0.05</f>
        <v>-0.05</v>
      </c>
      <c r="O11" s="293">
        <v>286.45</v>
      </c>
      <c r="P11" s="293">
        <v>2.62</v>
      </c>
      <c r="Q11" s="293">
        <v>2.67</v>
      </c>
      <c r="S11" s="234">
        <f t="shared" si="0"/>
        <v>94.85099337748345</v>
      </c>
      <c r="T11" s="234">
        <f t="shared" si="0"/>
        <v>0.8675496688741722</v>
      </c>
      <c r="U11" s="234">
        <f t="shared" si="0"/>
        <v>0.8841059602649006</v>
      </c>
    </row>
    <row r="12" spans="8:8" ht="15.0" customHeight="1">
      <c r="B12" s="239" t="s">
        <v>328</v>
      </c>
      <c r="C12" s="240" t="s">
        <v>363</v>
      </c>
      <c r="D12" s="295" t="s">
        <v>364</v>
      </c>
      <c r="F12" s="239" t="s">
        <v>328</v>
      </c>
      <c r="G12" s="240" t="s">
        <v>66</v>
      </c>
      <c r="H12" s="295" t="s">
        <v>67</v>
      </c>
      <c r="J12" s="180"/>
      <c r="K12" s="251"/>
    </row>
    <row r="13" spans="8:8" ht="15.0" customHeight="1">
      <c r="B13" s="276" t="s">
        <v>3</v>
      </c>
      <c r="C13" s="296">
        <f>S10-T10*COS(RADIANS($G$2))</f>
        <v>91.71408223354429</v>
      </c>
      <c r="D13" s="296">
        <f>S10+U10*COS(RADIANS($G$2))</f>
        <v>93.50110922424152</v>
      </c>
      <c r="F13" s="276" t="s">
        <v>3</v>
      </c>
      <c r="G13" s="296">
        <f>S11-T11*COS(RADIANS($G$2))</f>
        <v>93.98555701599982</v>
      </c>
      <c r="H13" s="296">
        <f>S11+U11*COS(RADIANS($G$2))</f>
        <v>95.7329457000642</v>
      </c>
      <c r="J13" s="180"/>
      <c r="K13" s="251"/>
      <c r="L13" s="251"/>
    </row>
    <row r="14" spans="8:8" ht="15.0" customHeight="1">
      <c r="B14" s="235" t="s">
        <v>95</v>
      </c>
      <c r="C14" s="297">
        <f>INDEX(Caliper!$F$291:$F$363,(ROUNDUP(((C13-80)/(20/72))+1,0)),1)</f>
        <v>277.6722222222423</v>
      </c>
      <c r="D14" s="298">
        <f>INDEX(Caliper!$F$291:$F$363,(ROUNDUP(((D13-80)/(20/72))+1,0)),1)</f>
        <v>282.705555555576</v>
      </c>
      <c r="F14" s="235" t="s">
        <v>95</v>
      </c>
      <c r="G14" s="297">
        <f>INDEX(Caliper!$F$291:$F$363,(ROUNDUP(((G13-80)/(20/72))+1,0)),1)</f>
        <v>284.3833333333539</v>
      </c>
      <c r="H14" s="298">
        <f>INDEX(Caliper!$F$291:$F$363,(ROUNDUP(((H13-80)/(20/72))+1,0)),1)</f>
        <v>289.41666666668766</v>
      </c>
      <c r="J14" s="180"/>
    </row>
    <row r="15" spans="8:8" ht="15.0" customHeight="1">
      <c r="B15" s="242" t="s">
        <v>341</v>
      </c>
      <c r="C15" s="242"/>
      <c r="D15" s="242"/>
      <c r="F15" s="242" t="s">
        <v>341</v>
      </c>
      <c r="G15" s="242"/>
      <c r="H15" s="242"/>
      <c r="J15" s="180"/>
    </row>
    <row r="16" spans="8:8" ht="15.0" customHeight="1">
      <c r="J16" s="180"/>
    </row>
    <row r="17" spans="8:8" ht="15.0" customHeight="1">
      <c r="A17" s="252"/>
      <c r="B17" s="252"/>
      <c r="C17" s="252"/>
      <c r="D17" s="252"/>
      <c r="E17" s="252"/>
      <c r="F17" s="252"/>
      <c r="G17" s="252"/>
      <c r="H17" s="252"/>
      <c r="I17" s="252"/>
      <c r="J17" s="180"/>
      <c r="K17" s="252"/>
      <c r="L17" s="252"/>
      <c r="M17" s="252"/>
      <c r="N17" s="252"/>
      <c r="O17" s="252"/>
      <c r="P17" s="252"/>
      <c r="Q17" s="252"/>
      <c r="R17" s="252"/>
      <c r="S17" s="252"/>
      <c r="T17" s="252"/>
      <c r="U17" s="252"/>
      <c r="V17" s="252"/>
      <c r="W17" s="252"/>
    </row>
    <row r="18" spans="8:8" ht="15.0" customHeight="1">
      <c r="J18" s="180"/>
    </row>
    <row r="19" spans="8:8" ht="15.0" customHeight="1">
      <c r="D19" s="197" t="s">
        <v>342</v>
      </c>
      <c r="E19" s="197"/>
      <c r="F19" s="197"/>
      <c r="J19" s="180"/>
      <c r="L19" s="198">
        <v>336.0</v>
      </c>
      <c r="M19" s="198"/>
      <c r="N19" s="198"/>
      <c r="O19" s="198"/>
      <c r="P19" s="198">
        <v>347.0</v>
      </c>
      <c r="Q19" s="198"/>
      <c r="R19" s="198"/>
      <c r="S19" s="198"/>
    </row>
    <row r="20" spans="8:8" ht="15.0" customHeight="1">
      <c r="D20" s="197"/>
      <c r="E20" s="197"/>
      <c r="F20" s="197"/>
      <c r="J20" s="180"/>
      <c r="L20" s="202" t="s">
        <v>212</v>
      </c>
      <c r="M20" s="202" t="s">
        <v>125</v>
      </c>
      <c r="N20" s="203" t="s">
        <v>218</v>
      </c>
      <c r="O20" s="203" t="s">
        <v>125</v>
      </c>
      <c r="P20" s="202" t="s">
        <v>212</v>
      </c>
      <c r="Q20" s="202" t="s">
        <v>125</v>
      </c>
      <c r="R20" s="203" t="s">
        <v>218</v>
      </c>
      <c r="S20" s="203" t="s">
        <v>125</v>
      </c>
    </row>
    <row r="21" spans="8:8" ht="15.0" customHeight="1">
      <c r="J21" s="180"/>
      <c r="L21" s="208">
        <v>0.0</v>
      </c>
      <c r="M21" s="209"/>
      <c r="N21" s="210">
        <v>0.0</v>
      </c>
      <c r="O21" s="211"/>
      <c r="P21" s="208">
        <v>0.0</v>
      </c>
      <c r="Q21" s="209"/>
      <c r="R21" s="210">
        <v>0.0</v>
      </c>
      <c r="S21" s="211"/>
      <c r="V21" s="253" t="s">
        <v>325</v>
      </c>
      <c r="W21" s="254"/>
    </row>
    <row r="22" spans="8:8" ht="15.0" customHeight="1">
      <c r="B22" s="206">
        <v>336.0</v>
      </c>
      <c r="C22" s="207" t="s">
        <v>169</v>
      </c>
      <c r="D22" s="207" t="s">
        <v>170</v>
      </c>
      <c r="F22" s="206">
        <v>347.0</v>
      </c>
      <c r="G22" s="207" t="s">
        <v>169</v>
      </c>
      <c r="H22" s="207" t="s">
        <v>170</v>
      </c>
      <c r="J22" s="180"/>
      <c r="L22" s="221">
        <v>42.8</v>
      </c>
      <c r="M22" s="222"/>
      <c r="N22" s="223">
        <v>20.0</v>
      </c>
      <c r="O22" s="224"/>
      <c r="P22" s="221">
        <v>17.0</v>
      </c>
      <c r="Q22" s="222"/>
      <c r="R22" s="223">
        <v>25.0</v>
      </c>
      <c r="S22" s="224"/>
      <c r="V22" s="227" t="s">
        <v>169</v>
      </c>
      <c r="W22" s="227" t="s">
        <v>170</v>
      </c>
      <c r="X22" s="227" t="s">
        <v>125</v>
      </c>
      <c r="Y22" s="227" t="s">
        <v>270</v>
      </c>
      <c r="Z22" s="227" t="s">
        <v>271</v>
      </c>
      <c r="AB22" s="227" t="s">
        <v>125</v>
      </c>
      <c r="AC22" s="227" t="s">
        <v>270</v>
      </c>
      <c r="AD22" s="227" t="s">
        <v>271</v>
      </c>
    </row>
    <row r="23" spans="8:8" ht="15.0" customHeight="1">
      <c r="B23" s="218" t="s">
        <v>365</v>
      </c>
      <c r="C23" s="219">
        <f>$V$23*SIN(RADIANS($G$2))+C26</f>
        <v>-1.2930997498176828</v>
      </c>
      <c r="D23" s="220">
        <f>$W$23*SIN(RADIANS($G$2))+D26</f>
        <v>2.706900250182327</v>
      </c>
      <c r="F23" s="218" t="s">
        <v>365</v>
      </c>
      <c r="G23" s="219">
        <f>$V$24*SIN(RADIANS($G$2))+G26</f>
        <v>-1.3135166950358608</v>
      </c>
      <c r="H23" s="220">
        <f>$W$24*SIN(RADIANS($G$2))+H26</f>
        <v>2.686483304964149</v>
      </c>
      <c r="J23" s="180"/>
      <c r="L23" s="221">
        <v>60.0</v>
      </c>
      <c r="M23" s="222"/>
      <c r="N23" s="223">
        <v>45.0</v>
      </c>
      <c r="O23" s="224"/>
      <c r="P23" s="221">
        <v>45.0</v>
      </c>
      <c r="Q23" s="222"/>
      <c r="R23" s="223">
        <v>40.0</v>
      </c>
      <c r="S23" s="224"/>
      <c r="U23" s="231">
        <v>336.0</v>
      </c>
      <c r="V23" s="293">
        <f>Calculadora!$E$7*9.55</f>
        <v>9.55</v>
      </c>
      <c r="W23" s="293">
        <f>Calculadora!$E$7*9.55</f>
        <v>9.55</v>
      </c>
      <c r="X23" s="293">
        <v>273.8</v>
      </c>
      <c r="Y23" s="293">
        <v>2.4</v>
      </c>
      <c r="Z23" s="293">
        <v>2.6</v>
      </c>
      <c r="AB23" s="234">
        <f>X23*100/$N$3</f>
        <v>95.73426573426573</v>
      </c>
      <c r="AC23" s="234">
        <f t="shared" si="1" ref="AC23:AD24">Y23*100/$N$3</f>
        <v>0.8391608391608392</v>
      </c>
      <c r="AD23" s="234">
        <f t="shared" si="1"/>
        <v>0.9090909090909091</v>
      </c>
    </row>
    <row r="24" spans="8:8" ht="15.0" customHeight="1">
      <c r="B24" s="276" t="s">
        <v>3</v>
      </c>
      <c r="C24" s="299">
        <f>$AB$23-$AC$23*COS(RADIANS($G$2))</f>
        <v>94.89714904873298</v>
      </c>
      <c r="D24" s="300"/>
      <c r="F24" s="276" t="s">
        <v>3</v>
      </c>
      <c r="G24" s="299">
        <f>$AB$24-$AC$24*COS(RADIANS($G$2))</f>
        <v>94.23298373053309</v>
      </c>
      <c r="H24" s="300"/>
      <c r="J24" s="180"/>
      <c r="L24" s="221">
        <v>78.0</v>
      </c>
      <c r="M24" s="222"/>
      <c r="N24" s="223">
        <v>60.0</v>
      </c>
      <c r="O24" s="224"/>
      <c r="P24" s="221">
        <v>69.5</v>
      </c>
      <c r="Q24" s="222"/>
      <c r="R24" s="223">
        <v>60.0</v>
      </c>
      <c r="S24" s="224"/>
      <c r="U24" s="231">
        <v>347.0</v>
      </c>
      <c r="V24" s="293">
        <f>Calculadora!$E$7*9.65</f>
        <v>9.65</v>
      </c>
      <c r="W24" s="293">
        <f>Calculadora!$E$7*9.65</f>
        <v>9.65</v>
      </c>
      <c r="X24" s="293">
        <v>272.1</v>
      </c>
      <c r="Y24" s="293">
        <v>2.6</v>
      </c>
      <c r="Z24" s="293">
        <v>2.8</v>
      </c>
      <c r="AB24" s="234">
        <f t="shared" si="2" ref="AB24">X24*100/$N$3</f>
        <v>95.13986013986015</v>
      </c>
      <c r="AC24" s="234">
        <f t="shared" si="1"/>
        <v>0.9090909090909091</v>
      </c>
      <c r="AD24" s="234">
        <f t="shared" si="1"/>
        <v>0.9790209790209791</v>
      </c>
    </row>
    <row r="25" spans="8:8" ht="15.0" customHeight="1">
      <c r="B25" s="235" t="s">
        <v>367</v>
      </c>
      <c r="C25" s="301">
        <f>INDEX(Caliper!$E$291:$E$363,(ROUNDUP(((C24-80)/(20/72))+1,0)),1)</f>
        <v>271.70000000001966</v>
      </c>
      <c r="D25" s="302"/>
      <c r="F25" s="235" t="s">
        <v>367</v>
      </c>
      <c r="G25" s="301">
        <f>INDEX(Caliper!$E$291:$E$363,(ROUNDUP(((G24-80)/(20/72))+1,0)),1)</f>
        <v>270.11111111113064</v>
      </c>
      <c r="H25" s="302"/>
      <c r="J25" s="180"/>
      <c r="L25" s="221">
        <v>91.0</v>
      </c>
      <c r="M25" s="222"/>
      <c r="N25" s="223">
        <v>75.0</v>
      </c>
      <c r="O25" s="224"/>
      <c r="P25" s="221">
        <v>91.0</v>
      </c>
      <c r="Q25" s="222"/>
      <c r="R25" s="223">
        <v>80.9</v>
      </c>
      <c r="S25" s="224"/>
    </row>
    <row r="26" spans="8:8" ht="15.0" customHeight="1">
      <c r="C26" s="279">
        <f>Calculadora!$E$7*-L34</f>
        <v>-1.9592740740740762</v>
      </c>
      <c r="D26" s="279">
        <f>Calculadora!$E$7*V34</f>
        <v>2.0407259259259263</v>
      </c>
      <c r="F26" s="303" t="s">
        <v>335</v>
      </c>
      <c r="G26" s="279">
        <f>Calculadora!$E$7*-L39</f>
        <v>-1.9866666666666661</v>
      </c>
      <c r="H26" s="279">
        <f>Calculadora!$E$7*V39</f>
        <v>2.0133333333333363</v>
      </c>
      <c r="J26" s="180"/>
      <c r="L26" s="221"/>
      <c r="M26" s="222"/>
      <c r="N26" s="223">
        <v>91.0</v>
      </c>
      <c r="O26" s="224"/>
      <c r="P26" s="221"/>
      <c r="Q26" s="222"/>
      <c r="R26" s="223">
        <v>91.0</v>
      </c>
      <c r="S26" s="224"/>
    </row>
    <row r="27" spans="8:8" ht="15.0" customHeight="1">
      <c r="B27" s="242" t="s">
        <v>343</v>
      </c>
      <c r="C27" s="242"/>
      <c r="D27" s="242"/>
      <c r="F27" s="242" t="s">
        <v>344</v>
      </c>
      <c r="G27" s="242"/>
      <c r="H27" s="242"/>
      <c r="J27" s="180"/>
      <c r="L27" s="221"/>
      <c r="M27" s="222"/>
      <c r="N27" s="223"/>
      <c r="O27" s="224"/>
      <c r="P27" s="221"/>
      <c r="Q27" s="222"/>
      <c r="R27" s="223"/>
      <c r="S27" s="224"/>
    </row>
    <row r="28" spans="8:8" ht="15.0" customHeight="1">
      <c r="B28" s="206">
        <v>336.0</v>
      </c>
      <c r="C28" s="207" t="s">
        <v>169</v>
      </c>
      <c r="D28" s="207" t="s">
        <v>170</v>
      </c>
      <c r="F28" s="206">
        <v>347.0</v>
      </c>
      <c r="G28" s="207" t="s">
        <v>169</v>
      </c>
      <c r="H28" s="207" t="s">
        <v>170</v>
      </c>
      <c r="J28" s="180"/>
      <c r="L28" s="304"/>
      <c r="M28" s="305"/>
      <c r="N28" s="306"/>
      <c r="O28" s="307"/>
      <c r="P28" s="304"/>
      <c r="Q28" s="305"/>
      <c r="R28" s="306"/>
      <c r="S28" s="307"/>
    </row>
    <row r="29" spans="8:8" ht="15.0" customHeight="1">
      <c r="B29" s="218" t="s">
        <v>366</v>
      </c>
      <c r="C29" s="219">
        <f>$V$23*SIN(RADIANS($G$2))+C32</f>
        <v>-1.3703935769781728</v>
      </c>
      <c r="D29" s="220">
        <f>$W$23*SIN(RADIANS($G$2))+D32</f>
        <v>2.829606423021837</v>
      </c>
      <c r="F29" s="218" t="s">
        <v>366</v>
      </c>
      <c r="G29" s="219">
        <f>$V$24*SIN(RADIANS($G$2))+G32</f>
        <v>-1.3634179296037607</v>
      </c>
      <c r="H29" s="220">
        <f>$W$24*SIN(RADIANS($G$2))+H32</f>
        <v>2.836582070396249</v>
      </c>
      <c r="J29" s="180"/>
      <c r="L29" s="243">
        <f>VLOOKUP($G$2,L21:M28,2)</f>
        <v>0.0</v>
      </c>
      <c r="M29" s="244"/>
      <c r="N29" s="245">
        <f>VLOOKUP($G$2,N21:O28,2)</f>
        <v>0.0</v>
      </c>
      <c r="O29" s="246"/>
      <c r="P29" s="243">
        <f>VLOOKUP($G$2,P21:Q28,2)</f>
        <v>0.0</v>
      </c>
      <c r="Q29" s="244"/>
      <c r="R29" s="245">
        <f>VLOOKUP($G$2,R21:S28,2)</f>
        <v>0.0</v>
      </c>
      <c r="S29" s="246"/>
    </row>
    <row r="30" spans="8:8" ht="15.0" customHeight="1">
      <c r="B30" s="276" t="s">
        <v>3</v>
      </c>
      <c r="C30" s="299">
        <f>$AB$23+$AD$23*COS(RADIANS($G$2))</f>
        <v>96.64114214359282</v>
      </c>
      <c r="D30" s="300"/>
      <c r="F30" s="276" t="s">
        <v>3</v>
      </c>
      <c r="G30" s="299">
        <f>$AB$24+$AD$24*COS(RADIANS($G$2))</f>
        <v>96.1164962729817</v>
      </c>
      <c r="H30" s="300"/>
      <c r="J30" s="180"/>
    </row>
    <row r="31" spans="8:8" ht="15.0" customHeight="1">
      <c r="B31" s="235" t="s">
        <v>368</v>
      </c>
      <c r="C31" s="308">
        <f>INDEX(Caliper!$E$291:$E$363,(ROUNDUP(((C30-80)/(20/72))+1,0)),1)</f>
        <v>276.4666666666867</v>
      </c>
      <c r="D31" s="309"/>
      <c r="F31" s="235" t="s">
        <v>368</v>
      </c>
      <c r="G31" s="308">
        <f>INDEX(Caliper!$E$291:$E$363,(ROUNDUP(((G30-80)/(20/72))+1,0)),1)</f>
        <v>275.6722222222422</v>
      </c>
      <c r="H31" s="309"/>
      <c r="J31" s="180"/>
      <c r="L31" s="310"/>
      <c r="M31" s="310"/>
      <c r="N31" s="310"/>
      <c r="O31" s="310"/>
      <c r="P31" s="281" t="s">
        <v>169</v>
      </c>
      <c r="R31" s="281" t="s">
        <v>170</v>
      </c>
      <c r="S31" s="310"/>
      <c r="T31" s="310"/>
      <c r="U31" s="310"/>
      <c r="V31" s="310"/>
    </row>
    <row r="32" spans="8:8" ht="15.0" customHeight="1">
      <c r="B32" s="303" t="s">
        <v>335</v>
      </c>
      <c r="C32" s="279">
        <f>Calculadora!$E$7*-L36</f>
        <v>-2.036567901234566</v>
      </c>
      <c r="D32" s="279">
        <f>Calculadora!$E$7*V36</f>
        <v>2.1634320987654365</v>
      </c>
      <c r="F32" s="303" t="s">
        <v>335</v>
      </c>
      <c r="G32" s="279">
        <f>Calculadora!$E$7*-L41</f>
        <v>-2.036567901234566</v>
      </c>
      <c r="H32" s="279">
        <f>Calculadora!$E$7*V41</f>
        <v>2.1634320987654365</v>
      </c>
      <c r="J32" s="180"/>
      <c r="L32" s="310"/>
      <c r="M32" s="310"/>
      <c r="N32" s="310"/>
      <c r="O32" s="310"/>
      <c r="P32" s="282"/>
      <c r="R32" s="282"/>
      <c r="S32" s="310"/>
      <c r="T32" s="310"/>
      <c r="U32" s="310"/>
      <c r="V32" s="310"/>
    </row>
    <row r="33" spans="8:8" ht="15.0" customHeight="1">
      <c r="B33" s="242" t="s">
        <v>343</v>
      </c>
      <c r="C33" s="242"/>
      <c r="D33" s="242"/>
      <c r="F33" s="242" t="s">
        <v>344</v>
      </c>
      <c r="G33" s="242"/>
      <c r="H33" s="242"/>
      <c r="J33" s="180"/>
      <c r="L33" s="285">
        <f>$G$2</f>
        <v>4.0</v>
      </c>
      <c r="M33" s="286">
        <v>90.0</v>
      </c>
      <c r="N33" s="287">
        <v>60.0</v>
      </c>
      <c r="O33" s="287">
        <v>30.0</v>
      </c>
      <c r="P33" s="287">
        <v>0.0</v>
      </c>
      <c r="Q33" s="288" t="s">
        <v>345</v>
      </c>
      <c r="R33" s="287">
        <v>0.0</v>
      </c>
      <c r="S33" s="287">
        <v>30.0</v>
      </c>
      <c r="T33" s="287">
        <v>60.0</v>
      </c>
      <c r="U33" s="286">
        <v>90.0</v>
      </c>
      <c r="V33" s="285">
        <f>$G$2</f>
        <v>4.0</v>
      </c>
    </row>
    <row r="34" spans="8:8" ht="15.0" customHeight="1">
      <c r="J34" s="180"/>
      <c r="L34" s="289">
        <f>P34*(L33-O33)*(L33-N33)*(L33-M33)/((P33-O33)*(P33-N33)*(P33-M33))+O34*(L33-P33)*(L33-N33)*(L33-M33)/((O33-P33)*(O33-N33)*(O33-M33))+N34*(L33-P33)*(L33-O33)*(L33-M33)/((N33-P33)*(N33-O33)*(N33-M33))+M34*(L33-P33)*(L33-O33)*(L33-N33)/((M33-P33)*(M33-O33)*(M33-N33))</f>
        <v>1.9592740740740762</v>
      </c>
      <c r="M34" s="311">
        <v>1.7</v>
      </c>
      <c r="N34" s="311">
        <v>1.75</v>
      </c>
      <c r="O34" s="311">
        <v>1.8</v>
      </c>
      <c r="P34" s="311">
        <v>2.0</v>
      </c>
      <c r="Q34" s="288"/>
      <c r="R34" s="311">
        <v>2.0</v>
      </c>
      <c r="S34" s="311">
        <v>2.2</v>
      </c>
      <c r="T34" s="311">
        <v>2.25</v>
      </c>
      <c r="U34" s="311">
        <v>2.3</v>
      </c>
      <c r="V34" s="289">
        <f>R34*(V33-S33)*(V33-T33)*(V33-U33)/((R33-S33)*(R33-T33)*(R33-U33))+S34*(V33-R33)*(V33-T33)*(V33-U33)/((S33-R33)*(S33-T33)*(S33-U33))+T34*(V33-R33)*(V33-S33)*(V33-U33)/((T33-R33)*(T33-S33)*(T33-U33))+U34*(V33-R33)*(V33-S33)*(V33-T33)/((U33-R33)*(U33-S33)*(U33-T33))</f>
        <v>2.0407259259259263</v>
      </c>
    </row>
    <row r="35" spans="8:8" ht="15.0" customHeight="1">
      <c r="J35" s="180"/>
      <c r="L35" s="285">
        <f>$G$2</f>
        <v>4.0</v>
      </c>
      <c r="M35" s="286">
        <v>90.0</v>
      </c>
      <c r="N35" s="287">
        <v>60.0</v>
      </c>
      <c r="O35" s="287">
        <v>30.0</v>
      </c>
      <c r="P35" s="287">
        <v>0.0</v>
      </c>
      <c r="Q35" s="288" t="s">
        <v>346</v>
      </c>
      <c r="R35" s="287">
        <v>0.0</v>
      </c>
      <c r="S35" s="287">
        <v>30.0</v>
      </c>
      <c r="T35" s="287">
        <v>60.0</v>
      </c>
      <c r="U35" s="286">
        <v>90.0</v>
      </c>
      <c r="V35" s="285">
        <f>$G$2</f>
        <v>4.0</v>
      </c>
    </row>
    <row r="36" spans="8:8" ht="15.0" customHeight="1">
      <c r="J36" s="180"/>
      <c r="L36" s="289">
        <f>P36*(L35-O35)*(L35-N35)*(L35-M35)/((P35-O35)*(P35-N35)*(P35-M35))+O36*(L35-P35)*(L35-N35)*(L35-M35)/((O35-P35)*(O35-N35)*(O35-M35))+N36*(L35-P35)*(L35-O35)*(L35-M35)/((N35-P35)*(N35-O35)*(N35-M35))+M36*(L35-P35)*(L35-O35)*(L35-N35)/((M35-P35)*(M35-O35)*(M35-N35))</f>
        <v>2.036567901234566</v>
      </c>
      <c r="M36" s="311">
        <v>1.7</v>
      </c>
      <c r="N36" s="311">
        <v>1.75</v>
      </c>
      <c r="O36" s="311">
        <v>1.8</v>
      </c>
      <c r="P36" s="311">
        <v>2.1</v>
      </c>
      <c r="Q36" s="288"/>
      <c r="R36" s="311">
        <v>2.1</v>
      </c>
      <c r="S36" s="311">
        <v>2.4</v>
      </c>
      <c r="T36" s="311">
        <v>2.45</v>
      </c>
      <c r="U36" s="311">
        <v>2.5</v>
      </c>
      <c r="V36" s="289">
        <f>R36*(V35-S35)*(V35-T35)*(V35-U35)/((R35-S35)*(R35-T35)*(R35-U35))+S36*(V35-R35)*(V35-T35)*(V35-U35)/((S35-R35)*(S35-T35)*(S35-U35))+T36*(V35-R35)*(V35-S35)*(V35-U35)/((T35-R35)*(T35-S35)*(T35-U35))+U36*(V35-R35)*(V35-S35)*(V35-T35)/((U35-R35)*(U35-S35)*(U35-T35))</f>
        <v>2.1634320987654365</v>
      </c>
    </row>
    <row r="37" spans="8:8" ht="15.0" customHeight="1">
      <c r="J37" s="180"/>
    </row>
    <row r="38" spans="8:8" ht="15.0" customHeight="1">
      <c r="J38" s="180"/>
      <c r="L38" s="285">
        <f>$G$2</f>
        <v>4.0</v>
      </c>
      <c r="M38" s="286">
        <v>90.0</v>
      </c>
      <c r="N38" s="287">
        <v>60.0</v>
      </c>
      <c r="O38" s="287">
        <v>30.0</v>
      </c>
      <c r="P38" s="287">
        <v>0.0</v>
      </c>
      <c r="Q38" s="288" t="s">
        <v>347</v>
      </c>
      <c r="R38" s="312">
        <v>0.0</v>
      </c>
      <c r="S38" s="287">
        <v>30.0</v>
      </c>
      <c r="T38" s="287">
        <v>60.0</v>
      </c>
      <c r="U38" s="286">
        <v>90.0</v>
      </c>
      <c r="V38" s="285">
        <f>$G$2</f>
        <v>4.0</v>
      </c>
    </row>
    <row r="39" spans="8:8" ht="15.0" customHeight="1">
      <c r="J39" s="180"/>
      <c r="L39" s="289">
        <f>P39*(L38-O38)*(L38-N38)*(L38-M38)/((P38-O38)*(P38-N38)*(P38-M38))+O39*(L38-P38)*(L38-N38)*(L38-M38)/((O38-P38)*(O38-N38)*(O38-M38))+N39*(L38-P38)*(L38-O38)*(L38-M38)/((N38-P38)*(N38-O38)*(N38-M38))+M39*(L38-P38)*(L38-O38)*(L38-N38)/((M38-P38)*(M38-O38)*(M38-N38))</f>
        <v>1.9866666666666661</v>
      </c>
      <c r="M39" s="311">
        <v>1.7</v>
      </c>
      <c r="N39" s="311">
        <v>1.8</v>
      </c>
      <c r="O39" s="311">
        <v>1.9</v>
      </c>
      <c r="P39" s="311">
        <v>2.0</v>
      </c>
      <c r="Q39" s="288"/>
      <c r="R39" s="311">
        <v>2.0</v>
      </c>
      <c r="S39" s="311">
        <v>2.1</v>
      </c>
      <c r="T39" s="311">
        <v>2.2</v>
      </c>
      <c r="U39" s="311">
        <v>2.3</v>
      </c>
      <c r="V39" s="289">
        <f>R39*(V38-S38)*(V38-T38)*(V38-U38)/((R38-S38)*(R38-T38)*(R38-U38))+S39*(V38-R38)*(V38-T38)*(V38-U38)/((S38-R38)*(S38-T38)*(S38-U38))+T39*(V38-R38)*(V38-S38)*(V38-U38)/((T38-R38)*(T38-S38)*(T38-U38))+U39*(V38-R38)*(V38-S38)*(V38-T38)/((U38-R38)*(U38-S38)*(U38-T38))</f>
        <v>2.0133333333333363</v>
      </c>
    </row>
    <row r="40" spans="8:8" ht="15.0" customHeight="1">
      <c r="J40" s="180"/>
      <c r="L40" s="285">
        <f>$G$2</f>
        <v>4.0</v>
      </c>
      <c r="M40" s="286">
        <v>90.0</v>
      </c>
      <c r="N40" s="287">
        <v>60.0</v>
      </c>
      <c r="O40" s="287">
        <v>30.0</v>
      </c>
      <c r="P40" s="287">
        <v>0.0</v>
      </c>
      <c r="Q40" s="288" t="s">
        <v>345</v>
      </c>
      <c r="R40" s="287">
        <v>0.0</v>
      </c>
      <c r="S40" s="287">
        <v>30.0</v>
      </c>
      <c r="T40" s="287">
        <v>60.0</v>
      </c>
      <c r="U40" s="286">
        <v>90.0</v>
      </c>
      <c r="V40" s="285">
        <f>$G$2</f>
        <v>4.0</v>
      </c>
    </row>
    <row r="41" spans="8:8" ht="15.0" customHeight="1">
      <c r="J41" s="180"/>
      <c r="L41" s="289">
        <f>P41*(L40-O40)*(L40-N40)*(L40-M40)/((P40-O40)*(P40-N40)*(P40-M40))+O41*(L40-P40)*(L40-N40)*(L40-M40)/((O40-P40)*(O40-N40)*(O40-M40))+N41*(L40-P40)*(L40-O40)*(L40-M40)/((N40-P40)*(N40-O40)*(N40-M40))+M41*(L40-P40)*(L40-O40)*(L40-N40)/((M40-P40)*(M40-O40)*(M40-N40))</f>
        <v>2.036567901234566</v>
      </c>
      <c r="M41" s="311">
        <v>1.7</v>
      </c>
      <c r="N41" s="311">
        <v>1.75</v>
      </c>
      <c r="O41" s="311">
        <v>1.8</v>
      </c>
      <c r="P41" s="311">
        <v>2.1</v>
      </c>
      <c r="Q41" s="288"/>
      <c r="R41" s="311">
        <v>2.1</v>
      </c>
      <c r="S41" s="311">
        <v>2.4</v>
      </c>
      <c r="T41" s="311">
        <v>2.45</v>
      </c>
      <c r="U41" s="311">
        <v>2.5</v>
      </c>
      <c r="V41" s="289">
        <f>R41*(V40-S40)*(V40-T40)*(V40-U40)/((R40-S40)*(R40-T40)*(R40-U40))+S41*(V40-R40)*(V40-T40)*(V40-U40)/((S40-R40)*(S40-T40)*(S40-U40))+T41*(V40-R40)*(V40-S40)*(V40-U40)/((T40-R40)*(T40-S40)*(T40-U40))+U41*(V40-R40)*(V40-S40)*(V40-T40)/((U40-R40)*(U40-S40)*(U40-T40))</f>
        <v>2.1634320987654365</v>
      </c>
    </row>
    <row r="42" spans="8:8" ht="15.0" customHeight="1">
      <c r="J42" s="180"/>
    </row>
    <row r="43" spans="8:8" ht="15.0" customHeight="1">
      <c r="A43" s="252"/>
      <c r="B43" s="252"/>
      <c r="C43" s="252"/>
      <c r="D43" s="252"/>
      <c r="E43" s="252"/>
      <c r="F43" s="252"/>
      <c r="G43" s="252"/>
      <c r="H43" s="252"/>
      <c r="I43" s="252"/>
      <c r="J43" s="180"/>
      <c r="K43" s="252"/>
      <c r="L43" s="252"/>
      <c r="M43" s="252"/>
      <c r="N43" s="252"/>
      <c r="O43" s="252"/>
      <c r="P43" s="252"/>
      <c r="Q43" s="252"/>
      <c r="R43" s="252"/>
      <c r="S43" s="252"/>
      <c r="T43" s="252"/>
      <c r="U43" s="252"/>
      <c r="V43" s="252"/>
      <c r="W43" s="252"/>
    </row>
    <row r="44" spans="8:8" ht="15.0" customHeight="1"/>
    <row r="45" spans="8:8" ht="15.0" customHeight="1"/>
    <row r="46" spans="8:8" ht="15.0" customHeight="1"/>
    <row r="47" spans="8:8" ht="15.0" customHeight="1"/>
    <row r="48" spans="8:8" ht="15.0" customHeight="1"/>
    <row r="49" spans="8:8" ht="15.0" customHeight="1"/>
    <row r="50" spans="8:8" ht="15.0" customHeight="1"/>
    <row r="51" spans="8:8" ht="15.0" customHeight="1"/>
    <row r="52" spans="8:8" ht="15.0" customHeight="1"/>
    <row r="53" spans="8:8" ht="15.0" customHeight="1"/>
    <row r="54" spans="8:8" ht="15.0" customHeight="1"/>
    <row r="55" spans="8:8" ht="15.0" customHeight="1"/>
    <row r="56" spans="8:8" ht="15.0" customHeight="1"/>
    <row r="57" spans="8:8" ht="15.0" customHeight="1"/>
    <row r="58" spans="8:8" ht="15.0" customHeight="1"/>
    <row r="59" spans="8:8" ht="15.0" customHeight="1"/>
    <row r="60" spans="8:8" ht="15.0" customHeight="1"/>
    <row r="61" spans="8:8" ht="15.0" customHeight="1"/>
    <row r="62" spans="8:8" ht="15.0" customHeight="1"/>
    <row r="63" spans="8:8" ht="15.0" customHeight="1"/>
    <row r="64" spans="8:8" ht="15.0" customHeight="1"/>
    <row r="65" spans="8:8" ht="15.0" customHeight="1"/>
    <row r="66" spans="8:8" ht="15.0" customHeight="1"/>
    <row r="67" spans="8:8" ht="15.0" customHeight="1"/>
    <row r="68" spans="8:8" ht="15.0" customHeight="1"/>
    <row r="69" spans="8:8" ht="15.0" customHeight="1"/>
    <row r="70" spans="8:8" ht="15.0" customHeight="1"/>
    <row r="71" spans="8:8" ht="15.0" customHeight="1"/>
    <row r="72" spans="8:8" ht="15.0" customHeight="1"/>
    <row r="73" spans="8:8" ht="15.0" customHeight="1"/>
    <row r="74" spans="8:8" ht="15.0" customHeight="1"/>
    <row r="75" spans="8:8" ht="15.0" customHeight="1"/>
    <row r="76" spans="8:8" ht="15.0" customHeight="1"/>
    <row r="77" spans="8:8" ht="15.0" customHeight="1"/>
    <row r="78" spans="8:8" ht="15.0" customHeight="1"/>
    <row r="79" spans="8:8" ht="15.0" customHeight="1"/>
    <row r="80" spans="8:8" ht="15.0" customHeight="1"/>
    <row r="81" spans="8:8" ht="15.0" customHeight="1"/>
    <row r="82" spans="8:8" ht="15.0" customHeight="1"/>
    <row r="83" spans="8:8" ht="15.0" customHeight="1"/>
    <row r="84" spans="8:8" ht="15.0" customHeight="1"/>
    <row r="85" spans="8:8" ht="15.0" customHeight="1"/>
    <row r="86" spans="8:8" ht="15.0" customHeight="1"/>
    <row r="87" spans="8:8" ht="15.0" customHeight="1"/>
    <row r="88" spans="8:8" ht="15.0" customHeight="1"/>
    <row r="89" spans="8:8" ht="15.0" customHeight="1"/>
    <row r="90" spans="8:8" ht="15.0" customHeight="1"/>
    <row r="91" spans="8:8" ht="15.0" customHeight="1"/>
    <row r="92" spans="8:8" ht="15.0" customHeight="1"/>
    <row r="93" spans="8:8" ht="15.0" customHeight="1"/>
    <row r="94" spans="8:8" ht="15.0" customHeight="1"/>
    <row r="95" spans="8:8" ht="15.0" customHeight="1"/>
    <row r="96" spans="8:8" ht="15.0" customHeight="1"/>
    <row r="97" spans="8:8" ht="15.0" customHeight="1"/>
    <row r="98" spans="8:8" ht="15.0" customHeight="1"/>
    <row r="99" spans="8:8" ht="15.0" customHeight="1"/>
    <row r="100" spans="8:8" ht="15.0" customHeight="1"/>
    <row r="101" spans="8:8" ht="15.0" customHeight="1"/>
    <row r="102" spans="8:8" ht="15.0" customHeight="1"/>
    <row r="103" spans="8:8" ht="15.0" customHeight="1"/>
    <row r="104" spans="8:8" ht="15.0" customHeight="1"/>
    <row r="105" spans="8:8" ht="15.0" customHeight="1"/>
    <row r="106" spans="8:8" ht="15.0" customHeight="1"/>
    <row r="107" spans="8:8" ht="15.0" customHeight="1"/>
    <row r="108" spans="8:8" ht="15.0" customHeight="1"/>
    <row r="109" spans="8:8" ht="15.0" customHeight="1"/>
    <row r="110" spans="8:8" ht="15.0" customHeight="1"/>
    <row r="111" spans="8:8" ht="15.0" customHeight="1"/>
    <row r="112" spans="8:8" ht="15.0" customHeight="1"/>
    <row r="113" spans="8:8" ht="15.0" customHeight="1"/>
    <row r="114" spans="8:8" ht="15.0" customHeight="1"/>
    <row r="115" spans="8:8" ht="15.0" customHeight="1"/>
    <row r="116" spans="8:8" ht="15.0" customHeight="1"/>
    <row r="117" spans="8:8" ht="15.0" customHeight="1"/>
    <row r="118" spans="8:8" ht="15.0" customHeight="1"/>
    <row r="119" spans="8:8" ht="15.0" customHeight="1"/>
    <row r="120" spans="8:8" ht="15.0" customHeight="1"/>
    <row r="121" spans="8:8" ht="15.0" customHeight="1"/>
    <row r="122" spans="8:8" ht="15.0" customHeight="1"/>
    <row r="123" spans="8:8" ht="15.0" customHeight="1"/>
    <row r="124" spans="8:8" ht="15.0" customHeight="1"/>
    <row r="125" spans="8:8" ht="15.0" customHeight="1"/>
    <row r="126" spans="8:8" ht="15.0" customHeight="1"/>
    <row r="127" spans="8:8" ht="15.0" customHeight="1"/>
    <row r="128" spans="8:8" ht="15.0" customHeight="1"/>
    <row r="129" spans="8:8" ht="15.0" customHeight="1"/>
    <row r="130" spans="8:8" ht="15.0" customHeight="1"/>
    <row r="131" spans="8:8" ht="15.0" customHeight="1"/>
    <row r="132" spans="8:8" ht="15.0" customHeight="1"/>
    <row r="133" spans="8:8" ht="15.0" customHeight="1"/>
    <row r="134" spans="8:8" ht="15.0" customHeight="1"/>
    <row r="135" spans="8:8" ht="15.0" customHeight="1"/>
    <row r="136" spans="8:8" ht="15.0" customHeight="1"/>
    <row r="137" spans="8:8" ht="15.0" customHeight="1"/>
    <row r="138" spans="8:8" ht="15.0" customHeight="1"/>
    <row r="139" spans="8:8" ht="15.0" customHeight="1"/>
    <row r="140" spans="8:8" ht="15.0" customHeight="1"/>
    <row r="141" spans="8:8" ht="15.0" customHeight="1"/>
    <row r="142" spans="8:8" ht="15.0" customHeight="1"/>
    <row r="143" spans="8:8" ht="15.0" customHeight="1"/>
    <row r="144" spans="8:8" ht="15.0" customHeight="1"/>
    <row r="145" spans="8:8" ht="15.0" customHeight="1"/>
    <row r="146" spans="8:8" ht="15.0" customHeight="1"/>
    <row r="147" spans="8:8" ht="15.0" customHeight="1"/>
    <row r="148" spans="8:8" ht="15.0" customHeight="1"/>
    <row r="149" spans="8:8" ht="15.0" customHeight="1"/>
    <row r="150" spans="8:8" ht="15.0" customHeight="1"/>
    <row r="151" spans="8:8" ht="15.0" customHeight="1"/>
    <row r="152" spans="8:8" ht="15.0" customHeight="1"/>
    <row r="153" spans="8:8" ht="15.0" customHeight="1"/>
    <row r="154" spans="8:8" ht="15.0" customHeight="1"/>
    <row r="155" spans="8:8" ht="15.0" customHeight="1"/>
    <row r="156" spans="8:8" ht="15.0" customHeight="1"/>
    <row r="157" spans="8:8" ht="15.0" customHeight="1"/>
    <row r="158" spans="8:8" ht="15.0" customHeight="1"/>
    <row r="159" spans="8:8" ht="15.0" customHeight="1"/>
    <row r="160" spans="8:8" ht="15.0" customHeight="1"/>
    <row r="161" spans="8:8" ht="15.0" customHeight="1"/>
    <row r="162" spans="8:8" ht="15.0" customHeight="1"/>
    <row r="163" spans="8:8" ht="15.0" customHeight="1"/>
    <row r="164" spans="8:8" ht="15.0" customHeight="1"/>
    <row r="165" spans="8:8" ht="15.0" customHeight="1"/>
    <row r="166" spans="8:8" ht="15.0" customHeight="1"/>
    <row r="167" spans="8:8" ht="15.0" customHeight="1"/>
    <row r="168" spans="8:8" ht="15.0" customHeight="1"/>
    <row r="169" spans="8:8" ht="15.0" customHeight="1"/>
    <row r="170" spans="8:8" ht="15.0" customHeight="1"/>
    <row r="171" spans="8:8" ht="15.0" customHeight="1"/>
    <row r="172" spans="8:8" ht="15.0" customHeight="1"/>
    <row r="173" spans="8:8" ht="15.0" customHeight="1"/>
    <row r="174" spans="8:8" ht="15.0" customHeight="1"/>
  </sheetData>
  <sheetProtection sheet="1" objects="1" scenarios="1"/>
  <mergeCells count="36">
    <mergeCell ref="G2:H3"/>
    <mergeCell ref="Q33:Q34"/>
    <mergeCell ref="F33:H33"/>
    <mergeCell ref="D6:F7"/>
    <mergeCell ref="B2:D3"/>
    <mergeCell ref="C25:D25"/>
    <mergeCell ref="P19:S19"/>
    <mergeCell ref="G31:H31"/>
    <mergeCell ref="C30:D30"/>
    <mergeCell ref="B15:D15"/>
    <mergeCell ref="K43:W43"/>
    <mergeCell ref="Q40:Q41"/>
    <mergeCell ref="F15:H15"/>
    <mergeCell ref="C24:D24"/>
    <mergeCell ref="Q38:Q39"/>
    <mergeCell ref="G25:H25"/>
    <mergeCell ref="L19:O19"/>
    <mergeCell ref="B27:D27"/>
    <mergeCell ref="D19:F20"/>
    <mergeCell ref="B33:D33"/>
    <mergeCell ref="K17:W17"/>
    <mergeCell ref="F2:F3"/>
    <mergeCell ref="Q35:Q36"/>
    <mergeCell ref="A17:I17"/>
    <mergeCell ref="P31:P32"/>
    <mergeCell ref="P29:Q29"/>
    <mergeCell ref="A43:I43"/>
    <mergeCell ref="V21:W21"/>
    <mergeCell ref="G30:H30"/>
    <mergeCell ref="R31:R32"/>
    <mergeCell ref="F27:H27"/>
    <mergeCell ref="C31:D31"/>
    <mergeCell ref="R29:S29"/>
    <mergeCell ref="G24:H24"/>
    <mergeCell ref="L29:M29"/>
    <mergeCell ref="N29:O29"/>
  </mergeCells>
  <pageMargins left="0.7" right="0.7" top="0.75" bottom="0.75" header="0.3" footer="0.3"/>
  <drawing r:id="rId2"/>
  <picture r:id="rId1"/>
</worksheet>
</file>

<file path=xl/worksheets/sheet5.xml><?xml version="1.0" encoding="utf-8"?>
<worksheet xmlns:r="http://schemas.openxmlformats.org/officeDocument/2006/relationships" xmlns="http://schemas.openxmlformats.org/spreadsheetml/2006/main">
  <sheetPr>
    <tabColor rgb="FFFF0000"/>
  </sheetPr>
  <dimension ref="A1:AZ144"/>
  <sheetViews>
    <sheetView workbookViewId="0" showGridLines="0" showRowColHeaders="0" zoomScale="85">
      <selection activeCell="D1" sqref="D1"/>
    </sheetView>
  </sheetViews>
  <sheetFormatPr defaultRowHeight="14.25" defaultColWidth="10"/>
  <cols>
    <col min="1" max="1" customWidth="0" width="10.285156" style="313"/>
    <col min="2" max="2" customWidth="1" width="11.7109375" style="313"/>
    <col min="3" max="3" customWidth="1" width="2.5703125" style="313"/>
    <col min="4" max="4" customWidth="1" width="11.425781" style="313"/>
    <col min="5" max="6" customWidth="1" width="8.425781" style="313"/>
    <col min="7" max="7" customWidth="1" width="2.5703125" style="313"/>
    <col min="8" max="8" customWidth="1" width="11.425781" style="313"/>
    <col min="9" max="10" customWidth="1" width="8.425781" style="313"/>
    <col min="11" max="12" customWidth="1" width="2.5703125" style="313"/>
    <col min="13" max="17" customWidth="0" width="10.285156" style="313"/>
    <col min="18" max="18" customWidth="1" width="21.425781" style="313"/>
    <col min="19" max="20" customWidth="0" width="10.285156" style="313"/>
    <col min="21" max="21" customWidth="1" width="18.570312" style="313"/>
    <col min="22" max="22" customWidth="1" width="12.425781" style="313"/>
    <col min="23" max="23" customWidth="0" width="10.285156" style="313"/>
    <col min="24" max="24" customWidth="1" width="12.855469" style="313"/>
    <col min="25" max="25" customWidth="1" width="14.5703125" style="313"/>
    <col min="26" max="26" customWidth="0" width="10.285156" style="313"/>
    <col min="27" max="32" customWidth="1" width="11.5703125" style="313"/>
    <col min="33" max="16384" customWidth="0" width="10.285156" style="313"/>
  </cols>
  <sheetData>
    <row r="1" spans="8:8" ht="15.0">
      <c r="A1" s="314" t="s">
        <v>356</v>
      </c>
      <c r="B1" s="315">
        <v>278.4</v>
      </c>
      <c r="C1" s="316"/>
      <c r="D1" s="317" t="s">
        <v>380</v>
      </c>
      <c r="E1" s="318" t="s">
        <v>0</v>
      </c>
      <c r="F1" s="319" t="s">
        <v>1</v>
      </c>
      <c r="G1" s="316"/>
      <c r="H1" s="320" t="s">
        <v>127</v>
      </c>
      <c r="I1" s="318" t="s">
        <v>0</v>
      </c>
      <c r="J1" s="319" t="s">
        <v>1</v>
      </c>
      <c r="K1" s="316"/>
      <c r="L1" s="321"/>
      <c r="M1" s="322"/>
      <c r="N1" s="322"/>
      <c r="O1" s="322"/>
      <c r="P1" s="323"/>
      <c r="Q1" s="323"/>
      <c r="R1" s="322"/>
      <c r="S1" s="322"/>
      <c r="T1" s="322"/>
      <c r="U1" s="322"/>
      <c r="V1" s="322"/>
      <c r="W1" s="324" t="s">
        <v>111</v>
      </c>
      <c r="X1" s="322"/>
      <c r="Y1" s="322"/>
      <c r="Z1" s="325"/>
      <c r="AA1" s="323"/>
      <c r="AB1" s="323"/>
      <c r="AC1" s="323"/>
      <c r="AD1" s="323"/>
      <c r="AE1" s="323"/>
      <c r="AG1" s="326" t="s">
        <v>108</v>
      </c>
      <c r="AH1" s="326"/>
      <c r="AI1" s="326" t="s">
        <v>107</v>
      </c>
      <c r="AJ1" s="326"/>
      <c r="AK1" s="327" t="s">
        <v>109</v>
      </c>
      <c r="AL1" s="327"/>
      <c r="AM1" s="328"/>
      <c r="AN1" s="329" t="s">
        <v>5</v>
      </c>
      <c r="AO1" s="329">
        <f>COS(RADIANS($B$4))</f>
        <v>0.7071067811865476</v>
      </c>
    </row>
    <row r="2" spans="8:8" ht="15.0">
      <c r="A2" s="330" t="s">
        <v>381</v>
      </c>
      <c r="B2" s="331">
        <v>5.68</v>
      </c>
      <c r="C2" s="316"/>
      <c r="D2" s="318" t="s">
        <v>192</v>
      </c>
      <c r="E2" s="332">
        <f>E3/4</f>
        <v>0.44003605594897155</v>
      </c>
      <c r="F2" s="333">
        <f>F3/4</f>
        <v>0.44347429189928594</v>
      </c>
      <c r="G2" s="316"/>
      <c r="H2" s="318" t="s">
        <v>192</v>
      </c>
      <c r="I2" s="334">
        <f>I3/4</f>
        <v>5.455810933748498</v>
      </c>
      <c r="J2" s="335">
        <f>J3/4</f>
        <v>5.689475861105012</v>
      </c>
      <c r="K2" s="316"/>
      <c r="L2" s="321"/>
      <c r="M2" s="336" t="s">
        <v>6</v>
      </c>
      <c r="N2" s="337" t="s">
        <v>86</v>
      </c>
      <c r="O2" s="337" t="s">
        <v>77</v>
      </c>
      <c r="P2" s="323"/>
      <c r="Q2" s="323"/>
      <c r="R2" s="338" t="s">
        <v>77</v>
      </c>
      <c r="S2" s="339"/>
      <c r="T2" s="322"/>
      <c r="U2" s="338" t="s">
        <v>93</v>
      </c>
      <c r="V2" s="325"/>
      <c r="W2" s="291">
        <f>O3*(Y8-N4)*(Y8-N5)*(Y8-N6)/((N3-N4)*(N3-N5)*(N3-N6))+O4*(Y8-N3)*(Y8-N5)*(Y8-N6)/((N4-N3)*(N4-N5)*(N4-N6))+O5*(Y8-N3)*(Y8-N4)*(Y8-N6)/((N5-N3)*(N5-N4)*(N5-N6))+O6*(Y8-N3)*(Y8-N4)*(Y8-N5)/((N6-N3)*(N6-N4)*(N6-N5))</f>
        <v>0.812929848956299</v>
      </c>
      <c r="X2" s="340" t="s">
        <v>77</v>
      </c>
      <c r="Y2" s="340">
        <f>IF(Y8&gt;N6,W2,W5)</f>
        <v>0.812929848956299</v>
      </c>
      <c r="Z2" s="341"/>
      <c r="AA2" s="342" t="s">
        <v>14</v>
      </c>
      <c r="AB2" s="323"/>
      <c r="AC2" s="323"/>
      <c r="AD2" s="323"/>
      <c r="AE2" s="323"/>
      <c r="AG2" s="343">
        <v>0.7</v>
      </c>
      <c r="AH2" s="338">
        <v>24.75</v>
      </c>
      <c r="AI2" s="343">
        <v>0.7</v>
      </c>
      <c r="AJ2" s="344">
        <v>24.75</v>
      </c>
      <c r="AK2" s="345">
        <v>0.7</v>
      </c>
      <c r="AL2" s="346">
        <v>24.75</v>
      </c>
      <c r="AM2" s="328"/>
      <c r="AN2" s="329" t="s">
        <v>198</v>
      </c>
      <c r="AO2" s="329">
        <f>SIN(RADIANS($B$4))</f>
        <v>0.7071067811865475</v>
      </c>
    </row>
    <row r="3" spans="8:8" ht="15.0">
      <c r="A3" s="314" t="s">
        <v>358</v>
      </c>
      <c r="B3" s="315">
        <v>1.0</v>
      </c>
      <c r="C3" s="316"/>
      <c r="D3" s="347" t="s">
        <v>2</v>
      </c>
      <c r="E3" s="348">
        <f>(B20*S15+B21*S30)/$B$8</f>
        <v>1.7601442237958862</v>
      </c>
      <c r="F3" s="349">
        <f>(B20*S16+B21*S31)/$B$8</f>
        <v>1.7738971675971438</v>
      </c>
      <c r="G3" s="316"/>
      <c r="H3" s="347" t="s">
        <v>2</v>
      </c>
      <c r="I3" s="348">
        <f>Calculadora!I3</f>
        <v>21.82324373499399</v>
      </c>
      <c r="J3" s="349">
        <f>Calculadora!J3</f>
        <v>22.757903444420048</v>
      </c>
      <c r="K3" s="316"/>
      <c r="L3" s="321"/>
      <c r="M3" s="350">
        <v>1.025</v>
      </c>
      <c r="N3" s="351">
        <v>314.35</v>
      </c>
      <c r="O3" s="351">
        <v>1.1808</v>
      </c>
      <c r="P3" s="323"/>
      <c r="Q3" s="323"/>
      <c r="R3" s="352" t="s">
        <v>87</v>
      </c>
      <c r="S3" s="353">
        <f>Y2*$AO$1*$B$3</f>
        <v>0.5748282088259549</v>
      </c>
      <c r="T3" s="322"/>
      <c r="U3" s="352"/>
      <c r="V3" s="354"/>
      <c r="W3" s="325"/>
      <c r="X3" s="340" t="s">
        <v>7</v>
      </c>
      <c r="Y3" s="355">
        <f>W15*POWER(V15,(N4-Y8))</f>
        <v>0.9138960129500229</v>
      </c>
      <c r="Z3" s="341"/>
      <c r="AA3" s="356">
        <f>N4</f>
        <v>305.95</v>
      </c>
      <c r="AB3" s="357">
        <f>N6</f>
        <v>272.48</v>
      </c>
      <c r="AC3" s="356">
        <f>N8</f>
        <v>240.45</v>
      </c>
      <c r="AD3" s="358">
        <f>W11</f>
        <v>283.59092935355613</v>
      </c>
      <c r="AE3" s="323"/>
      <c r="AG3" s="343">
        <v>0.75</v>
      </c>
      <c r="AH3" s="359">
        <v>21.0</v>
      </c>
      <c r="AI3" s="343">
        <v>0.75</v>
      </c>
      <c r="AJ3" s="360">
        <v>20.75</v>
      </c>
      <c r="AK3" s="345">
        <v>0.75</v>
      </c>
      <c r="AL3" s="361">
        <v>21.0</v>
      </c>
      <c r="AM3" s="328"/>
      <c r="AN3" s="362"/>
      <c r="AO3" s="362"/>
    </row>
    <row r="4" spans="8:8" ht="15.0">
      <c r="A4" s="330" t="s">
        <v>359</v>
      </c>
      <c r="B4" s="363">
        <v>45.0</v>
      </c>
      <c r="C4" s="316"/>
      <c r="D4" s="318" t="s">
        <v>3</v>
      </c>
      <c r="E4" s="332">
        <f>B20*R15+B21*R33</f>
        <v>93.47196949650521</v>
      </c>
      <c r="F4" s="333">
        <f>B20*R16+B21*R34</f>
        <v>93.15676705579409</v>
      </c>
      <c r="G4" s="316"/>
      <c r="H4" s="318" t="s">
        <v>3</v>
      </c>
      <c r="I4" s="334">
        <f>Calculadora!I4</f>
        <v>101.0421999716167</v>
      </c>
      <c r="J4" s="335">
        <f>Calculadora!J4</f>
        <v>102.732689339786</v>
      </c>
      <c r="K4" s="316"/>
      <c r="L4" s="321"/>
      <c r="M4" s="364">
        <v>1.0</v>
      </c>
      <c r="N4" s="365">
        <v>305.95</v>
      </c>
      <c r="O4" s="365">
        <v>1.0785</v>
      </c>
      <c r="P4" s="323"/>
      <c r="Q4" s="323"/>
      <c r="R4" s="366" t="s">
        <v>88</v>
      </c>
      <c r="S4" s="367">
        <f>IF(S10&gt;0,S3*Y5,S3*Y6)</f>
        <v>0.563056614659577</v>
      </c>
      <c r="T4" s="322"/>
      <c r="U4" s="366" t="s">
        <v>94</v>
      </c>
      <c r="V4" s="368">
        <f>Y2*$B$3*$AO$2</f>
        <v>0.5748282088259549</v>
      </c>
      <c r="W4" s="369" t="s">
        <v>112</v>
      </c>
      <c r="X4" s="340" t="s">
        <v>8</v>
      </c>
      <c r="Y4" s="355">
        <f>W16*POWER(V16,(N4-Y8))</f>
        <v>0.8837116145929708</v>
      </c>
      <c r="Z4" s="341"/>
      <c r="AA4" s="370">
        <v>2.8</v>
      </c>
      <c r="AB4" s="371">
        <v>2.4</v>
      </c>
      <c r="AC4" s="357">
        <v>2.0</v>
      </c>
      <c r="AD4" s="372">
        <f>AA4*(AD3-AB3)*(AD3-AC3)/((AA3-AB3)*(AA3-AC3))+AB4*(AD3-AA3)*(AD3-AC3)/((AB3-AA3)*(AB3-AC3))+AC4*(AD3-AA3)*(AD3-AB3)/((AC3-AA3)*(AC3-AB3))</f>
        <v>2.534824578789307</v>
      </c>
      <c r="AE4" s="323"/>
      <c r="AG4" s="343">
        <v>0.8</v>
      </c>
      <c r="AH4" s="359">
        <v>16.5</v>
      </c>
      <c r="AI4" s="343">
        <v>0.8</v>
      </c>
      <c r="AJ4" s="360">
        <v>16.0</v>
      </c>
      <c r="AK4" s="345">
        <v>0.8</v>
      </c>
      <c r="AL4" s="361">
        <v>16.0</v>
      </c>
      <c r="AM4" s="328"/>
      <c r="AN4" s="362"/>
      <c r="AO4" s="362"/>
    </row>
    <row r="5" spans="8:8" ht="15.0">
      <c r="A5" s="373" t="s">
        <v>360</v>
      </c>
      <c r="B5" s="315">
        <v>0.0</v>
      </c>
      <c r="C5" s="316"/>
      <c r="D5" s="374" t="s">
        <v>24</v>
      </c>
      <c r="E5" s="375">
        <f>INDEX(Caliper!$F$291:$F$363,(ROUNDUP(((E4-80)/(20/72))+1,0)),1)</f>
        <v>282.705555555576</v>
      </c>
      <c r="F5" s="376">
        <f>INDEX(Caliper!$F$291:$F$363,(ROUNDUP(((F4-80)/(20/72))+1,0)),1)</f>
        <v>281.866666666687</v>
      </c>
      <c r="G5" s="316"/>
      <c r="H5" s="374" t="s">
        <v>24</v>
      </c>
      <c r="I5" s="377" t="e">
        <f>Calculadora!I5</f>
        <v>#REF!</v>
      </c>
      <c r="J5" s="376" t="e">
        <f>Calculadora!J5</f>
        <v>#REF!</v>
      </c>
      <c r="K5" s="316"/>
      <c r="L5" s="321"/>
      <c r="M5" s="378">
        <v>0.95</v>
      </c>
      <c r="N5" s="359">
        <v>289.17</v>
      </c>
      <c r="O5" s="359">
        <v>0.9044</v>
      </c>
      <c r="P5" s="323"/>
      <c r="Q5" s="323"/>
      <c r="R5" s="366" t="s">
        <v>89</v>
      </c>
      <c r="S5" s="367">
        <f>S4*V8</f>
        <v>0.561057064680887</v>
      </c>
      <c r="T5" s="322"/>
      <c r="U5" s="366"/>
      <c r="V5" s="368"/>
      <c r="W5" s="291">
        <f>O6*(Y8-N7)*(Y8-N8)/((N6-N7)*(N6-N8))+O7*(Y8-N6)*(Y8-N8)/((N7-N6)*(N7-N8))+O8*(Y8-N6)*(Y8-N7)/((N8-N6)*(N8-N7))</f>
        <v>0.818588444906756</v>
      </c>
      <c r="X5" s="340" t="s">
        <v>9</v>
      </c>
      <c r="Y5" s="355">
        <f>IF((Y8&gt;0),((100+(S10/-U15))/100))</f>
        <v>0.9795215440271791</v>
      </c>
      <c r="Z5" s="379"/>
      <c r="AA5" s="380">
        <v>3.1</v>
      </c>
      <c r="AB5" s="381">
        <v>2.8</v>
      </c>
      <c r="AC5" s="382">
        <v>2.5</v>
      </c>
      <c r="AD5" s="372">
        <f>AA5*(AD3-AB3)*(AD3-AC3)/((AA3-AB3)*(AA3-AC3))+AB5*(AD3-AA3)*(AD3-AC3)/((AB3-AA3)*(AB3-AC3))+AC5*(AD3-AA3)*(AD3-AB3)/((AC3-AA3)*(AC3-AB3))</f>
        <v>2.901118434091982</v>
      </c>
      <c r="AE5" s="323"/>
      <c r="AG5" s="383">
        <v>0.82</v>
      </c>
      <c r="AH5" s="384">
        <v>15.2</v>
      </c>
      <c r="AI5" s="383">
        <v>0.82</v>
      </c>
      <c r="AJ5" s="360">
        <v>14.25</v>
      </c>
      <c r="AK5" s="383">
        <v>0.82</v>
      </c>
      <c r="AL5" s="384">
        <v>15.0</v>
      </c>
      <c r="AM5" s="328"/>
      <c r="AN5" s="362"/>
      <c r="AO5" s="362"/>
    </row>
    <row r="6" spans="8:8" ht="15.0">
      <c r="A6" s="373" t="s">
        <v>361</v>
      </c>
      <c r="B6" s="385">
        <v>0.0</v>
      </c>
      <c r="C6" s="316"/>
      <c r="D6" s="386"/>
      <c r="E6" s="386"/>
      <c r="F6" s="386"/>
      <c r="G6" s="316"/>
      <c r="H6" s="387" t="s">
        <v>19</v>
      </c>
      <c r="I6" s="83">
        <f>Calculadora!I6</f>
        <v>11.0</v>
      </c>
      <c r="J6" s="83">
        <f>Calculadora!J6</f>
        <v>11.0</v>
      </c>
      <c r="K6" s="316"/>
      <c r="L6" s="321"/>
      <c r="M6" s="378">
        <v>0.9</v>
      </c>
      <c r="N6" s="365">
        <v>272.48</v>
      </c>
      <c r="O6" s="365">
        <v>0.7691</v>
      </c>
      <c r="P6" s="323"/>
      <c r="Q6" s="323"/>
      <c r="R6" s="388" t="s">
        <v>90</v>
      </c>
      <c r="S6" s="389">
        <f>S4/V9</f>
        <v>0.565440902195755</v>
      </c>
      <c r="T6" s="322"/>
      <c r="U6" s="366" t="s">
        <v>97</v>
      </c>
      <c r="V6" s="368">
        <f>$AO$2*$B$3*Y2*0.98*(1-(S10*0.016))</f>
        <v>0.5165442083294708</v>
      </c>
      <c r="W6" s="325"/>
      <c r="X6" s="340" t="s">
        <v>10</v>
      </c>
      <c r="Y6" s="355">
        <f>IF((Y8&gt;0),((100+(S10/-U16))/100))</f>
        <v>0.9821071442911264</v>
      </c>
      <c r="Z6" s="341"/>
      <c r="AA6" s="323"/>
      <c r="AB6" s="323"/>
      <c r="AC6" s="323"/>
      <c r="AD6" s="323"/>
      <c r="AE6" s="323"/>
      <c r="AG6" s="343">
        <v>0.85</v>
      </c>
      <c r="AH6" s="359">
        <v>13.5</v>
      </c>
      <c r="AI6" s="343">
        <v>0.85</v>
      </c>
      <c r="AJ6" s="360">
        <v>11.65</v>
      </c>
      <c r="AK6" s="345">
        <v>0.85</v>
      </c>
      <c r="AL6" s="361">
        <v>12.0</v>
      </c>
      <c r="AM6" s="328"/>
      <c r="AN6" s="362"/>
      <c r="AO6" s="362"/>
    </row>
    <row r="7" spans="8:8" ht="15.0">
      <c r="A7" s="390" t="s">
        <v>389</v>
      </c>
      <c r="B7" s="391">
        <v>1.0</v>
      </c>
      <c r="C7" s="316"/>
      <c r="D7" s="386"/>
      <c r="E7" s="386"/>
      <c r="F7" s="386"/>
      <c r="G7" s="316"/>
      <c r="H7" s="316"/>
      <c r="I7" s="316"/>
      <c r="J7" s="316"/>
      <c r="K7" s="316"/>
      <c r="L7" s="321"/>
      <c r="M7" s="378">
        <v>0.85</v>
      </c>
      <c r="N7" s="359">
        <v>256.11</v>
      </c>
      <c r="O7" s="359">
        <v>0.6465</v>
      </c>
      <c r="P7" s="323"/>
      <c r="Q7" s="323"/>
      <c r="R7" s="322"/>
      <c r="S7" s="322"/>
      <c r="T7" s="322"/>
      <c r="U7" s="366" t="s">
        <v>98</v>
      </c>
      <c r="V7" s="368">
        <f>$AO$2*$B$3*Y2*1.25*(1-(S10*0.016))</f>
        <v>0.6588574085835087</v>
      </c>
      <c r="W7" s="392" t="s">
        <v>350</v>
      </c>
      <c r="X7" s="340" t="s">
        <v>105</v>
      </c>
      <c r="Y7" s="340">
        <f>Y2*Calculadora!$B$5/4</f>
        <v>0.0</v>
      </c>
      <c r="Z7" s="341"/>
      <c r="AA7" s="323"/>
      <c r="AB7" s="323"/>
      <c r="AC7" s="323"/>
      <c r="AD7" s="323"/>
      <c r="AE7" s="323"/>
      <c r="AG7" s="343">
        <v>0.9</v>
      </c>
      <c r="AH7" s="359">
        <v>8.6</v>
      </c>
      <c r="AI7" s="343">
        <v>0.9</v>
      </c>
      <c r="AJ7" s="360">
        <v>7.5</v>
      </c>
      <c r="AK7" s="345">
        <v>0.9</v>
      </c>
      <c r="AL7" s="361">
        <v>8.0</v>
      </c>
    </row>
    <row r="8" spans="8:8" ht="15.0">
      <c r="A8" s="390" t="s">
        <v>391</v>
      </c>
      <c r="B8" s="393">
        <v>0.218</v>
      </c>
      <c r="C8" s="316"/>
      <c r="D8" s="386"/>
      <c r="E8" s="386"/>
      <c r="F8" s="386"/>
      <c r="G8" s="316"/>
      <c r="H8" s="386"/>
      <c r="I8" s="394" t="s">
        <v>392</v>
      </c>
      <c r="J8" s="394" t="s">
        <v>393</v>
      </c>
      <c r="K8" s="316"/>
      <c r="L8" s="321"/>
      <c r="M8" s="378">
        <v>0.8</v>
      </c>
      <c r="N8" s="395">
        <v>240.45</v>
      </c>
      <c r="O8" s="395">
        <v>0.5488</v>
      </c>
      <c r="P8" s="323"/>
      <c r="Q8" s="322"/>
      <c r="R8" s="340" t="s">
        <v>91</v>
      </c>
      <c r="S8" s="322"/>
      <c r="T8" s="322"/>
      <c r="U8" s="366" t="s">
        <v>99</v>
      </c>
      <c r="V8" s="368">
        <f>(100+(V6*2.75/-4))/100</f>
        <v>0.996448758567735</v>
      </c>
      <c r="W8" s="325"/>
      <c r="X8" s="340" t="s">
        <v>106</v>
      </c>
      <c r="Y8" s="340">
        <f>AH13</f>
        <v>278.4</v>
      </c>
      <c r="Z8" s="323"/>
      <c r="AA8" s="323"/>
      <c r="AB8" s="323"/>
      <c r="AC8" s="323"/>
      <c r="AD8" s="323"/>
      <c r="AE8" s="323"/>
      <c r="AG8" s="343">
        <v>0.92</v>
      </c>
      <c r="AH8" s="359">
        <v>6.4</v>
      </c>
      <c r="AI8" s="343">
        <v>0.92</v>
      </c>
      <c r="AJ8" s="360">
        <v>5.9</v>
      </c>
      <c r="AK8" s="345">
        <v>0.92</v>
      </c>
      <c r="AL8" s="361">
        <v>8.5</v>
      </c>
    </row>
    <row r="9" spans="8:8" ht="15.75">
      <c r="A9" s="390" t="s">
        <v>369</v>
      </c>
      <c r="B9" s="396">
        <f>$B$1*0.013</f>
        <v>3.6191999999999998</v>
      </c>
      <c r="C9" s="316"/>
      <c r="D9" s="397" t="s">
        <v>131</v>
      </c>
      <c r="E9" s="398" t="s">
        <v>0</v>
      </c>
      <c r="F9" s="398" t="s">
        <v>1</v>
      </c>
      <c r="G9" s="316"/>
      <c r="H9" s="399" t="s">
        <v>2</v>
      </c>
      <c r="I9" s="400">
        <v>18.81</v>
      </c>
      <c r="J9" s="401">
        <v>-32.76</v>
      </c>
      <c r="K9" s="316"/>
      <c r="L9" s="321"/>
      <c r="M9" s="323"/>
      <c r="N9" s="323"/>
      <c r="O9" s="323"/>
      <c r="P9" s="323"/>
      <c r="Q9" s="322"/>
      <c r="R9" s="352"/>
      <c r="S9" s="354"/>
      <c r="T9" s="322"/>
      <c r="U9" s="388" t="s">
        <v>100</v>
      </c>
      <c r="V9" s="402">
        <f>(100+(V7*4/-6.25))/100</f>
        <v>0.9957833125850655</v>
      </c>
      <c r="W9" s="325"/>
      <c r="X9" s="325"/>
      <c r="Y9" s="322"/>
      <c r="Z9" s="323"/>
      <c r="AA9" s="323"/>
      <c r="AB9" s="323"/>
      <c r="AC9" s="323"/>
      <c r="AD9" s="323"/>
      <c r="AE9" s="323"/>
      <c r="AG9" s="343">
        <v>0.95</v>
      </c>
      <c r="AH9" s="359">
        <v>4.0</v>
      </c>
      <c r="AI9" s="343">
        <v>0.95</v>
      </c>
      <c r="AJ9" s="360">
        <v>3.85</v>
      </c>
      <c r="AK9" s="345">
        <v>0.95</v>
      </c>
      <c r="AL9" s="361">
        <v>4.0</v>
      </c>
    </row>
    <row r="10" spans="8:8" ht="15.75">
      <c r="A10" s="403" t="s">
        <v>434</v>
      </c>
      <c r="B10" s="403"/>
      <c r="C10" s="316"/>
      <c r="D10" s="404" t="s">
        <v>192</v>
      </c>
      <c r="E10" s="332" t="e">
        <f>E11/4</f>
        <v>#NUM!</v>
      </c>
      <c r="F10" s="333" t="e">
        <f>F11/4</f>
        <v>#NUM!</v>
      </c>
      <c r="G10" s="316"/>
      <c r="H10" s="394" t="s">
        <v>3</v>
      </c>
      <c r="I10" s="405">
        <v>92.78</v>
      </c>
      <c r="J10" s="406">
        <v>93.57</v>
      </c>
      <c r="K10" s="316"/>
      <c r="L10" s="321"/>
      <c r="M10" s="323"/>
      <c r="N10" s="323"/>
      <c r="O10" s="323"/>
      <c r="P10" s="323"/>
      <c r="Q10" s="322"/>
      <c r="R10" s="366" t="s">
        <v>92</v>
      </c>
      <c r="S10" s="368">
        <f>IF($B$2&gt;0,$B$2*Y3,$B$2*Y4)</f>
        <v>5.19092935355613</v>
      </c>
      <c r="T10" s="322"/>
      <c r="U10" s="325"/>
      <c r="V10" s="325"/>
      <c r="W10" s="407"/>
      <c r="X10" s="323"/>
      <c r="Y10" s="322"/>
      <c r="Z10" s="323"/>
      <c r="AA10" s="323"/>
      <c r="AB10" s="323"/>
      <c r="AC10" s="323"/>
      <c r="AD10" s="323"/>
      <c r="AE10" s="323"/>
      <c r="AG10" s="343">
        <v>0.97</v>
      </c>
      <c r="AH10" s="359">
        <v>2.35</v>
      </c>
      <c r="AI10" s="343">
        <v>0.97</v>
      </c>
      <c r="AJ10" s="360">
        <v>2.1</v>
      </c>
      <c r="AK10" s="345">
        <v>0.97</v>
      </c>
      <c r="AL10" s="361">
        <v>4.5</v>
      </c>
    </row>
    <row r="11" spans="8:8" ht="15.0" customHeight="1">
      <c r="A11" s="408"/>
      <c r="B11" s="408"/>
      <c r="C11" s="316"/>
      <c r="D11" s="409" t="s">
        <v>2</v>
      </c>
      <c r="E11" s="410" t="e">
        <f>(B20*S51+B21*S66)/$B$8</f>
        <v>#NUM!</v>
      </c>
      <c r="F11" s="411" t="e">
        <f>(B20*S52+B21*S67)/$B$8</f>
        <v>#NUM!</v>
      </c>
      <c r="G11" s="316"/>
      <c r="H11" s="386"/>
      <c r="I11" s="386"/>
      <c r="J11" s="316"/>
      <c r="K11" s="316"/>
      <c r="L11" s="321"/>
      <c r="M11" s="412" t="s">
        <v>7</v>
      </c>
      <c r="N11" s="413">
        <v>0.01</v>
      </c>
      <c r="O11" s="414">
        <v>0.672</v>
      </c>
      <c r="P11" s="322"/>
      <c r="Q11" s="322"/>
      <c r="R11" s="388"/>
      <c r="S11" s="402"/>
      <c r="T11" s="322"/>
      <c r="U11" s="352" t="s">
        <v>103</v>
      </c>
      <c r="V11" s="415">
        <f>Y8+S10-V6</f>
        <v>283.07438514522653</v>
      </c>
      <c r="W11" s="416">
        <f>Y8+S10</f>
        <v>283.59092935355613</v>
      </c>
      <c r="X11" s="323"/>
      <c r="Y11" s="323"/>
      <c r="Z11" s="323"/>
      <c r="AA11" s="412" t="s">
        <v>13</v>
      </c>
      <c r="AB11" s="413">
        <v>-0.01</v>
      </c>
      <c r="AC11" s="414">
        <v>0.612</v>
      </c>
      <c r="AD11" s="323"/>
      <c r="AE11" s="323"/>
      <c r="AG11" s="343">
        <v>0.98</v>
      </c>
      <c r="AH11" s="359">
        <v>2.0</v>
      </c>
      <c r="AI11" s="343">
        <v>0.98</v>
      </c>
      <c r="AJ11" s="360">
        <v>1.5</v>
      </c>
      <c r="AK11" s="345">
        <v>0.98</v>
      </c>
      <c r="AL11" s="361">
        <v>3.75</v>
      </c>
    </row>
    <row r="12" spans="8:8" ht="15.0">
      <c r="A12" s="417">
        <v>14.0</v>
      </c>
      <c r="B12" s="418"/>
      <c r="C12" s="316"/>
      <c r="D12" s="318" t="s">
        <v>3</v>
      </c>
      <c r="E12" s="419" t="e">
        <f>B20*R51+B21*R69</f>
        <v>#NUM!</v>
      </c>
      <c r="F12" s="420" t="e">
        <f>B20*R52+B21*R70</f>
        <v>#NUM!</v>
      </c>
      <c r="G12" s="316"/>
      <c r="H12" s="421" t="s">
        <v>127</v>
      </c>
      <c r="I12" s="394" t="s">
        <v>399</v>
      </c>
      <c r="J12" s="318" t="s">
        <v>192</v>
      </c>
      <c r="K12" s="316"/>
      <c r="L12" s="321"/>
      <c r="M12" s="412" t="s">
        <v>7</v>
      </c>
      <c r="N12" s="413">
        <v>5.0</v>
      </c>
      <c r="O12" s="414">
        <v>0.678</v>
      </c>
      <c r="P12" s="322"/>
      <c r="Q12" s="325"/>
      <c r="R12" s="422"/>
      <c r="S12" s="323"/>
      <c r="T12" s="322"/>
      <c r="U12" s="388" t="s">
        <v>104</v>
      </c>
      <c r="V12" s="423">
        <f>Y8+S10+V7</f>
        <v>284.24978676213954</v>
      </c>
      <c r="W12" s="323"/>
      <c r="X12" s="323"/>
      <c r="Y12" s="323"/>
      <c r="Z12" s="323"/>
      <c r="AA12" s="412" t="s">
        <v>13</v>
      </c>
      <c r="AB12" s="413">
        <v>-10.0</v>
      </c>
      <c r="AC12" s="414">
        <v>0.596</v>
      </c>
      <c r="AD12" s="323"/>
      <c r="AE12" s="323"/>
      <c r="AG12" s="424">
        <v>1.0</v>
      </c>
      <c r="AH12" s="425">
        <v>0.0</v>
      </c>
      <c r="AI12" s="343">
        <v>1.0</v>
      </c>
      <c r="AJ12" s="426">
        <v>0.0</v>
      </c>
      <c r="AK12" s="345">
        <v>1.0</v>
      </c>
      <c r="AL12" s="427">
        <v>0.0</v>
      </c>
    </row>
    <row r="13" spans="8:8" ht="15.75">
      <c r="A13" s="428"/>
      <c r="B13" s="429"/>
      <c r="C13" s="316"/>
      <c r="D13" s="430" t="s">
        <v>24</v>
      </c>
      <c r="E13" s="431" t="e">
        <f>INDEX(Caliper!$I$291:$I$363,(ROUNDUP(((E12-80)/(20/72))+1,0)),1)</f>
        <v>#NUM!</v>
      </c>
      <c r="F13" s="376" t="e">
        <f>INDEX(Caliper!$I$291:$I$363,(ROUNDUP(((F12-80)/(20/72))+1,0)),1)</f>
        <v>#NUM!</v>
      </c>
      <c r="G13" s="316"/>
      <c r="H13" s="399" t="s">
        <v>2</v>
      </c>
      <c r="I13" s="432">
        <f>B20*I9+B21*J9</f>
        <v>2.5091379310345</v>
      </c>
      <c r="J13" s="332">
        <f>I13/4</f>
        <v>0.627284482758625</v>
      </c>
      <c r="K13" s="316"/>
      <c r="L13" s="321"/>
      <c r="M13" s="412" t="s">
        <v>7</v>
      </c>
      <c r="N13" s="413">
        <v>10.0</v>
      </c>
      <c r="O13" s="414">
        <v>0.681</v>
      </c>
      <c r="P13" s="322"/>
      <c r="Q13" s="325"/>
      <c r="R13" s="422"/>
      <c r="S13" s="323"/>
      <c r="T13" s="322"/>
      <c r="U13" s="322"/>
      <c r="V13" s="322"/>
      <c r="W13" s="322"/>
      <c r="X13" s="325"/>
      <c r="Y13" s="323"/>
      <c r="Z13" s="323"/>
      <c r="AA13" s="412" t="s">
        <v>13</v>
      </c>
      <c r="AB13" s="413">
        <v>-20.0</v>
      </c>
      <c r="AC13" s="414">
        <v>0.588</v>
      </c>
      <c r="AD13" s="323"/>
      <c r="AE13" s="323"/>
      <c r="AG13" s="433" t="s">
        <v>205</v>
      </c>
      <c r="AH13" s="433">
        <f>LOOKUP($B$7,AG2:AG12:AH2:AH12)+$B$1</f>
        <v>278.4</v>
      </c>
      <c r="AI13" s="433" t="s">
        <v>205</v>
      </c>
      <c r="AJ13" s="433">
        <f>LOOKUP($B$7,AI2:AI12:AJ2:AJ12)+$B$1</f>
        <v>278.4</v>
      </c>
      <c r="AK13" s="433" t="s">
        <v>205</v>
      </c>
      <c r="AL13" s="433">
        <f>LOOKUP($B$7,AK2:AK12:AL2:AL12)+$B$1</f>
        <v>278.4</v>
      </c>
    </row>
    <row r="14" spans="8:8" ht="15.75">
      <c r="A14" s="434" t="s">
        <v>169</v>
      </c>
      <c r="B14" s="434" t="s">
        <v>170</v>
      </c>
      <c r="C14" s="386"/>
      <c r="D14" s="435">
        <v>286.0</v>
      </c>
      <c r="E14" s="436">
        <f>D14/2-($A$12*D14/40)</f>
        <v>42.900000000000006</v>
      </c>
      <c r="F14" s="436">
        <f>D14/2+($A$12*D14/40)</f>
        <v>243.1</v>
      </c>
      <c r="G14" s="316"/>
      <c r="H14" s="437" t="s">
        <v>3</v>
      </c>
      <c r="I14" s="438">
        <f>B20*I10+B21*J10</f>
        <v>93.0297126436781</v>
      </c>
      <c r="J14" s="386"/>
      <c r="K14" s="316"/>
      <c r="L14" s="321"/>
      <c r="M14" s="439" t="s">
        <v>7</v>
      </c>
      <c r="N14" s="338">
        <v>15.0</v>
      </c>
      <c r="O14" s="354">
        <v>0.695</v>
      </c>
      <c r="P14" s="322"/>
      <c r="Q14" s="340" t="s">
        <v>95</v>
      </c>
      <c r="R14" s="340" t="s">
        <v>96</v>
      </c>
      <c r="S14" s="340" t="s">
        <v>77</v>
      </c>
      <c r="T14" s="322"/>
      <c r="U14" s="340" t="s">
        <v>14</v>
      </c>
      <c r="V14" s="340" t="s">
        <v>78</v>
      </c>
      <c r="W14" s="340" t="s">
        <v>15</v>
      </c>
      <c r="X14" s="322"/>
      <c r="Y14" s="440" t="s">
        <v>2</v>
      </c>
      <c r="Z14" s="323"/>
      <c r="AA14" s="412" t="s">
        <v>13</v>
      </c>
      <c r="AB14" s="338">
        <v>-30.0</v>
      </c>
      <c r="AC14" s="354">
        <v>0.569</v>
      </c>
      <c r="AD14" s="322"/>
      <c r="AE14" s="323"/>
    </row>
    <row r="15" spans="8:8" ht="15.75">
      <c r="A15" s="441">
        <f>IF(E14&lt;-0.1,"#N/A",E14)</f>
        <v>42.900000000000006</v>
      </c>
      <c r="B15" s="441">
        <f>IF(F14&gt;D14+0.1,"#N/A",F14)</f>
        <v>243.1</v>
      </c>
      <c r="C15" s="386"/>
      <c r="D15" s="386"/>
      <c r="E15" s="386"/>
      <c r="F15" s="386"/>
      <c r="G15" s="316"/>
      <c r="H15" s="442" t="s">
        <v>24</v>
      </c>
      <c r="I15" s="443">
        <f>IF(H21=0,INDEX(Caliper!$E$255:$E$363,(ROUNDDOWN(((I14-70)/(20/72)+1),0)),1),INDEX(Caliper!$E$255:$E$363,(ROUNDUP(((I14-70)/(20/72))+1,0)),1))</f>
        <v>266.1388888889081</v>
      </c>
      <c r="J15" s="386"/>
      <c r="K15" s="316"/>
      <c r="L15" s="321"/>
      <c r="M15" s="412" t="s">
        <v>7</v>
      </c>
      <c r="N15" s="413">
        <v>20.0</v>
      </c>
      <c r="O15" s="414">
        <v>0.701</v>
      </c>
      <c r="P15" s="444" t="s">
        <v>101</v>
      </c>
      <c r="Q15" s="445">
        <f>INDEX(Caliper!$F$291:$F$363,(ROUNDUP(((R15-80)/(20/72))+1,0)),1)</f>
        <v>281.866666666687</v>
      </c>
      <c r="R15" s="446">
        <f>100*(V11-N5)*(V11-N6)*(V11-N7)*(V11-N8)/((N4-N5)*(N4-N6)*(N4-N7)*(N4-N8))+95*(V11-N4)*(V11-N6)*(V11-N7)*(V11-N8)/((N5-N4)*(N5-N6)*(N5-N7)*(N5-N8))+90*(V11-N4)*(V11-N5)*(V11-N7)*(V11-N8)/((N6-N4)*(N6-N5)*(N6-N7)*(N6-N8))+85*(V11-N4)*(V11-N5)*(V11-N6)*(V11-N8)/((N7-N4)*(N7-N5)*(N7-N6)*(N7-N8))+80*(V11-N4)*(V11-N5)*(V11-N6)*(V11-N7)/((N8-N4)*(N8-N5)*(N8-N6)*(N8-N7))</f>
        <v>93.1791899322462</v>
      </c>
      <c r="S15" s="446">
        <f>S5+Y7</f>
        <v>0.561057064680887</v>
      </c>
      <c r="T15" s="447" t="s">
        <v>7</v>
      </c>
      <c r="U15" s="355">
        <f>AD4</f>
        <v>2.534824578789307</v>
      </c>
      <c r="V15" s="448">
        <v>1.0109</v>
      </c>
      <c r="W15" s="355">
        <f>O16</f>
        <v>0.6779317404310771</v>
      </c>
      <c r="X15" s="322">
        <f>Y7*0.895</f>
        <v>0.0</v>
      </c>
      <c r="Y15" s="449">
        <f>S15/0.218</f>
        <v>2.5736562600040687</v>
      </c>
      <c r="Z15" s="323"/>
      <c r="AA15" s="412" t="s">
        <v>13</v>
      </c>
      <c r="AB15" s="413">
        <v>-40.0</v>
      </c>
      <c r="AC15" s="414">
        <v>0.558</v>
      </c>
      <c r="AD15" s="322"/>
      <c r="AE15" s="323"/>
    </row>
    <row r="16" spans="8:8" ht="15.0">
      <c r="A16" s="450" t="s">
        <v>404</v>
      </c>
      <c r="B16" s="451">
        <v>88.0</v>
      </c>
      <c r="C16" s="316"/>
      <c r="D16" s="452" t="s">
        <v>132</v>
      </c>
      <c r="E16" s="404" t="s">
        <v>0</v>
      </c>
      <c r="F16" s="398" t="s">
        <v>1</v>
      </c>
      <c r="G16" s="316"/>
      <c r="H16" s="453" t="s">
        <v>19</v>
      </c>
      <c r="I16" s="454">
        <f>I23</f>
        <v>11.0</v>
      </c>
      <c r="J16" s="386"/>
      <c r="K16" s="316"/>
      <c r="L16" s="321"/>
      <c r="M16" s="412" t="s">
        <v>74</v>
      </c>
      <c r="N16" s="455">
        <f>$B$2</f>
        <v>5.68</v>
      </c>
      <c r="O16" s="456">
        <f>O11*(N16-N12)*(N16-N13)*(N16-N14)*(N16-N15)/((N11-N12)*(N11-N13)*(N11-N14)*(N11-N15))+O12*(N16-N11)*(N16-N13)*(N16-N14)*(N16-N15)/((N12-N11)*(N12-N13)*(N12-N14)*(N12-N15))+O13*(N16-N11)*(N16-N12)*(N16-N14)*(N16-N15)/((N13-N11)*(N13-N12)*(N13-N14)*(N13-N15))+O14*(N16-N11)*(N16-N12)*(N16-N13)*(N16-N15)/((N14-N11)*(N14-N12)*(N14-N13)*(N14-N15))+O15*(N16-N11)*(N16-N12)*(N16-N13)*(N16-N14)/((N15-N11)*(N15-N12)*(N15-N13)*(N15-N14))</f>
        <v>0.6779317404310771</v>
      </c>
      <c r="P16" s="340" t="s">
        <v>102</v>
      </c>
      <c r="Q16" s="445">
        <f>INDEX(Caliper!$F$291:$F$363,(ROUNDUP(((R16-80)/(20/72))+1,0)),1)</f>
        <v>282.705555555576</v>
      </c>
      <c r="R16" s="446">
        <f>100*(V12-N5)*(V12-N6)*(V12-N7)*(V12-N8)/((N4-N5)*(N4-N6)*(N4-N7)*(N4-N8))+95*(V12-N4)*(V12-N6)*(V12-N7)*(V12-N8)/((N5-N4)*(N5-N6)*(N5-N7)*(N5-N8))+90*(V12-N4)*(V12-N5)*(V12-N7)*(V12-N8)/((N6-N4)*(N6-N5)*(N6-N7)*(N6-N8))+85*(V12-N4)*(V12-N5)*(V12-N6)*(V12-N8)/((N7-N4)*(N7-N5)*(N7-N6)*(N7-N8))+80*(V12-N4)*(V12-N5)*(V12-N6)*(V12-N7)/((N8-N4)*(N8-N5)*(N8-N6)*(N8-N7))</f>
        <v>93.5306063679064</v>
      </c>
      <c r="S16" s="446">
        <f>S6+Y7</f>
        <v>0.565440902195755</v>
      </c>
      <c r="T16" s="340" t="s">
        <v>13</v>
      </c>
      <c r="U16" s="340">
        <f>AD5</f>
        <v>2.901118434091982</v>
      </c>
      <c r="V16" s="448">
        <v>1.0115</v>
      </c>
      <c r="W16" s="355">
        <f>AC16</f>
        <v>0.644911873991608</v>
      </c>
      <c r="X16" s="322"/>
      <c r="Y16" s="449">
        <f>S16/0.218</f>
        <v>2.5937656064025463</v>
      </c>
      <c r="Z16" s="323"/>
      <c r="AA16" s="412" t="s">
        <v>16</v>
      </c>
      <c r="AB16" s="455">
        <f>$B$2</f>
        <v>5.68</v>
      </c>
      <c r="AC16" s="456">
        <f>AC11*(AB16-AB12)*(AB16-AB13)*(AB16-AB14)*(AB16-AB15)/((AB11-AB12)*(AB11-AB13)*(AB11-AB14)*(AB11-AB15))+AC12*(AB16-AB11)*(AB16-AB13)*(AB16-AB14)*(AB16-AB15)/((AB12-AB11)*(AB12-AB13)*(AB12-AB14)*(AB12-AB15))+AC13*(AB16-AB11)*(AB16-AB12)*(AB16-AB14)*(AB16-AB15)/((AB13-AB11)*(AB13-AB12)*(AB13-AB14)*(AB13-AB15))+AC14*(AB16-AB11)*(AB16-AB12)*(AB16-AB13)*(AB16-AB15)/((AB14-AB11)*(AB14-AB12)*(AB14-AB13)*(AB14-AB15))+AC15*(AB16-AB11)*(AB16-AB12)*(AB16-AB13)*(AB16-AB14)/((AB15-AB11)*(AB15-AB12)*(AB15-AB13)*(AB15-AB14))</f>
        <v>0.644911873991608</v>
      </c>
      <c r="AD16" s="322"/>
      <c r="AE16" s="322"/>
    </row>
    <row r="17" spans="8:8" ht="15.0">
      <c r="A17" s="457"/>
      <c r="B17" s="458"/>
      <c r="C17" s="316"/>
      <c r="D17" s="318" t="s">
        <v>192</v>
      </c>
      <c r="E17" s="332" t="e">
        <f>E18/4</f>
        <v>#DIV/0!</v>
      </c>
      <c r="F17" s="333" t="e">
        <f>F18/4</f>
        <v>#DIV/0!</v>
      </c>
      <c r="G17" s="316"/>
      <c r="H17" s="316"/>
      <c r="I17" s="386"/>
      <c r="J17" s="316"/>
      <c r="K17" s="316"/>
      <c r="L17" s="321"/>
      <c r="M17" s="322"/>
      <c r="N17" s="322"/>
      <c r="O17" s="322"/>
      <c r="P17" s="322"/>
      <c r="Q17" s="322"/>
      <c r="R17" s="322"/>
      <c r="S17" s="322"/>
      <c r="T17" s="322"/>
      <c r="U17" s="322"/>
      <c r="V17" s="322"/>
      <c r="W17" s="322"/>
      <c r="X17" s="322"/>
      <c r="Y17" s="322"/>
      <c r="Z17" s="322"/>
      <c r="AA17" s="322"/>
      <c r="AB17" s="322"/>
      <c r="AC17" s="322"/>
      <c r="AD17" s="322"/>
      <c r="AE17" s="322"/>
      <c r="AF17" s="328"/>
      <c r="AG17" s="328"/>
      <c r="AH17" s="362"/>
    </row>
    <row r="18" spans="8:8" ht="15.0">
      <c r="A18" s="314" t="s">
        <v>405</v>
      </c>
      <c r="B18" s="315">
        <v>-5.0</v>
      </c>
      <c r="C18" s="316"/>
      <c r="D18" s="347" t="s">
        <v>2</v>
      </c>
      <c r="E18" s="410" t="e">
        <f>(B20*S87+B21*S102)/$B$8</f>
        <v>#DIV/0!</v>
      </c>
      <c r="F18" s="411" t="e">
        <f>(B20*S88+B21*S103)/$B$8</f>
        <v>#DIV/0!</v>
      </c>
      <c r="G18" s="316"/>
      <c r="H18" s="459" t="s">
        <v>17</v>
      </c>
      <c r="I18" s="460"/>
      <c r="J18" s="461"/>
      <c r="K18" s="316"/>
      <c r="L18" s="321"/>
      <c r="M18" s="321"/>
      <c r="N18" s="321"/>
      <c r="O18" s="321"/>
      <c r="P18" s="321"/>
      <c r="Q18" s="462"/>
      <c r="R18" s="321"/>
      <c r="S18" s="321"/>
      <c r="T18" s="321"/>
      <c r="U18" s="321"/>
      <c r="V18" s="321"/>
      <c r="W18" s="321"/>
      <c r="X18" s="321"/>
      <c r="Y18" s="321"/>
      <c r="Z18" s="321"/>
      <c r="AA18" s="321"/>
      <c r="AB18" s="321"/>
      <c r="AC18" s="321"/>
      <c r="AD18" s="321"/>
      <c r="AE18" s="321"/>
      <c r="AF18" s="321"/>
      <c r="AG18" s="321"/>
      <c r="AH18" s="321"/>
    </row>
    <row r="19" spans="8:8" ht="15.0">
      <c r="A19" s="330" t="s">
        <v>406</v>
      </c>
      <c r="B19" s="363">
        <v>78.0</v>
      </c>
      <c r="C19" s="316"/>
      <c r="D19" s="318" t="s">
        <v>3</v>
      </c>
      <c r="E19" s="419" t="e">
        <f>B20*R87+B21*R105</f>
        <v>#DIV/0!</v>
      </c>
      <c r="F19" s="420" t="e">
        <f>B20*R88+B21*R106</f>
        <v>#DIV/0!</v>
      </c>
      <c r="G19" s="316"/>
      <c r="H19" s="463">
        <f>MOD(I14,20/72)</f>
        <v>0.2519348659003138</v>
      </c>
      <c r="I19" s="464">
        <f>MOD(I14,20/72)</f>
        <v>0.2519348659003138</v>
      </c>
      <c r="J19" s="465"/>
      <c r="K19" s="316"/>
      <c r="L19" s="321"/>
      <c r="M19" s="322"/>
      <c r="N19" s="322"/>
      <c r="O19" s="322"/>
      <c r="P19" s="323"/>
      <c r="Q19" s="323"/>
      <c r="R19" s="322"/>
      <c r="S19" s="322"/>
      <c r="T19" s="322"/>
      <c r="U19" s="322"/>
      <c r="V19" s="322"/>
      <c r="W19" s="324" t="s">
        <v>111</v>
      </c>
      <c r="X19" s="322"/>
      <c r="Y19" s="322"/>
      <c r="Z19" s="325"/>
      <c r="AA19" s="323"/>
      <c r="AB19" s="323"/>
      <c r="AC19" s="323"/>
      <c r="AD19" s="323"/>
      <c r="AE19" s="323"/>
    </row>
    <row r="20" spans="8:8" ht="15.75">
      <c r="A20" s="466" t="s">
        <v>407</v>
      </c>
      <c r="B20" s="467">
        <f>(B1-B16)/(B1)</f>
        <v>0.6839080459770115</v>
      </c>
      <c r="C20" s="316"/>
      <c r="D20" s="374" t="s">
        <v>24</v>
      </c>
      <c r="E20" s="468" t="e">
        <f>INDEX(Caliper!$L$291:$L$363,(ROUNDUP(((E19-80)/(20/72))+1,0)),1)</f>
        <v>#DIV/0!</v>
      </c>
      <c r="F20" s="469" t="e">
        <f>INDEX(Caliper!$L$291:$L$363,(ROUNDUP(((F19-80)/(20/72))+1,0)),1)</f>
        <v>#DIV/0!</v>
      </c>
      <c r="G20" s="316"/>
      <c r="H20" s="463">
        <f>H19/(20/72)</f>
        <v>0.9069655172411295</v>
      </c>
      <c r="I20" s="464">
        <f>I19/(20/72)</f>
        <v>0.9069655172411295</v>
      </c>
      <c r="J20" s="465"/>
      <c r="K20" s="316"/>
      <c r="L20" s="321"/>
      <c r="M20" s="470" t="s">
        <v>6</v>
      </c>
      <c r="N20" s="471" t="s">
        <v>86</v>
      </c>
      <c r="O20" s="471" t="s">
        <v>77</v>
      </c>
      <c r="P20" s="323"/>
      <c r="Q20" s="323"/>
      <c r="R20" s="338" t="s">
        <v>77</v>
      </c>
      <c r="S20" s="323"/>
      <c r="T20" s="322"/>
      <c r="U20" s="338" t="s">
        <v>93</v>
      </c>
      <c r="V20" s="325"/>
      <c r="W20" s="291">
        <f>O21*(Y26-N22)*(Y26-N23)*(Y26-N24)/((N21-N22)*(N21-N23)*(N21-N24))+O22*(Y26-N21)*(Y26-N23)*(Y26-N24)/((N22-N21)*(N22-N23)*(N22-N24))+O23*(Y26-N21)*(Y26-N22)*(Y26-N24)/((N23-N21)*(N23-N22)*(N23-N24))+O24*(Y26-N21)*(Y26-N22)*(Y26-N23)/((N24-N21)*(N24-N22)*(N24-N23))</f>
        <v>0.812929848956299</v>
      </c>
      <c r="X20" s="340" t="s">
        <v>77</v>
      </c>
      <c r="Y20" s="414">
        <f>Y2</f>
        <v>0.812929848956299</v>
      </c>
      <c r="Z20" s="341"/>
      <c r="AA20" s="342" t="s">
        <v>14</v>
      </c>
      <c r="AB20" s="323"/>
      <c r="AC20" s="323"/>
      <c r="AD20" s="323"/>
      <c r="AE20" s="323"/>
    </row>
    <row r="21" spans="8:8" ht="15.75">
      <c r="A21" s="472" t="s">
        <v>408</v>
      </c>
      <c r="B21" s="467">
        <f>(B16)/(B1)</f>
        <v>0.3160919540229885</v>
      </c>
      <c r="C21" s="316"/>
      <c r="D21" s="316"/>
      <c r="E21" s="316"/>
      <c r="F21" s="316"/>
      <c r="G21" s="316"/>
      <c r="H21" s="463">
        <f>IF(H20&lt;0.288,ROUNDDOWN(H20,0),ROUNDUP(H20,0))</f>
        <v>1.0</v>
      </c>
      <c r="I21" s="464">
        <f>IF(I20&lt;0.288,ROUNDDOWN(I20,0),ROUNDUP(I20,0))</f>
        <v>1.0</v>
      </c>
      <c r="J21" s="465"/>
      <c r="K21" s="316"/>
      <c r="L21" s="321"/>
      <c r="M21" s="473">
        <v>1.025</v>
      </c>
      <c r="N21" s="474">
        <f>N3</f>
        <v>314.35</v>
      </c>
      <c r="O21" s="474">
        <f t="shared" si="0" ref="O21:O26">O3</f>
        <v>1.1808</v>
      </c>
      <c r="P21" s="323"/>
      <c r="Q21" s="323"/>
      <c r="R21" s="352" t="s">
        <v>87</v>
      </c>
      <c r="S21" s="353">
        <f>Y20*$AO$1*$B$18</f>
        <v>-2.8741410441297743</v>
      </c>
      <c r="T21" s="322"/>
      <c r="U21" s="352"/>
      <c r="V21" s="354"/>
      <c r="W21" s="325"/>
      <c r="X21" s="340" t="s">
        <v>7</v>
      </c>
      <c r="Y21" s="355">
        <f>W33*POWER(V33,(N22-Y26))</f>
        <v>0.9138960129500229</v>
      </c>
      <c r="Z21" s="341"/>
      <c r="AA21" s="356">
        <f>N22</f>
        <v>305.95</v>
      </c>
      <c r="AB21" s="357">
        <f>N24</f>
        <v>272.48</v>
      </c>
      <c r="AC21" s="356">
        <f>N26</f>
        <v>240.45</v>
      </c>
      <c r="AD21" s="358">
        <f>W29</f>
        <v>283.59092935355613</v>
      </c>
      <c r="AE21" s="323"/>
    </row>
    <row r="22" spans="8:8" ht="15.0">
      <c r="A22" s="316"/>
      <c r="B22" s="316"/>
      <c r="C22" s="316"/>
      <c r="D22" s="317" t="s">
        <v>409</v>
      </c>
      <c r="E22" s="318" t="s">
        <v>0</v>
      </c>
      <c r="F22" s="319" t="s">
        <v>1</v>
      </c>
      <c r="G22" s="316"/>
      <c r="H22" s="463"/>
      <c r="I22" s="464"/>
      <c r="J22" s="465"/>
      <c r="K22" s="316"/>
      <c r="L22" s="321"/>
      <c r="M22" s="475">
        <v>1.0</v>
      </c>
      <c r="N22" s="476">
        <f t="shared" si="1" ref="N22">N4</f>
        <v>305.95</v>
      </c>
      <c r="O22" s="476">
        <f t="shared" si="0"/>
        <v>1.0785</v>
      </c>
      <c r="P22" s="323"/>
      <c r="Q22" s="323"/>
      <c r="R22" s="366" t="s">
        <v>88</v>
      </c>
      <c r="S22" s="367">
        <f>IF(S28&gt;0,S21*Y23,S21*Y24)</f>
        <v>-2.815283073297885</v>
      </c>
      <c r="T22" s="322"/>
      <c r="U22" s="366" t="s">
        <v>94</v>
      </c>
      <c r="V22" s="368">
        <f>Y20*$B$18*$AO$2</f>
        <v>-2.8741410441297743</v>
      </c>
      <c r="W22" s="369" t="s">
        <v>112</v>
      </c>
      <c r="X22" s="340" t="s">
        <v>8</v>
      </c>
      <c r="Y22" s="355">
        <f>W34*POWER(V34,(N22-Y26))</f>
        <v>0.8837116145929708</v>
      </c>
      <c r="Z22" s="341"/>
      <c r="AA22" s="370">
        <f t="shared" si="2" ref="AA22:AC22">AA4</f>
        <v>2.8</v>
      </c>
      <c r="AB22" s="371">
        <f t="shared" si="2"/>
        <v>2.4</v>
      </c>
      <c r="AC22" s="357">
        <f t="shared" si="2"/>
        <v>2.0</v>
      </c>
      <c r="AD22" s="372">
        <f>AA22*(AD21-AB21)*(AD21-AC21)/((AA21-AB21)*(AA21-AC21))+AB22*(AD21-AA21)*(AD21-AC21)/((AB21-AA21)*(AB21-AC21))+AC22*(AD21-AA21)*(AD21-AB21)/((AC21-AA21)*(AC21-AB21))</f>
        <v>2.534824578789307</v>
      </c>
      <c r="AE22" s="323"/>
    </row>
    <row r="23" spans="8:8" ht="15.0">
      <c r="A23" s="450" t="s">
        <v>410</v>
      </c>
      <c r="B23" s="451">
        <v>86.0</v>
      </c>
      <c r="C23" s="316"/>
      <c r="D23" s="318" t="s">
        <v>192</v>
      </c>
      <c r="E23" s="332" t="e">
        <f>E24/4</f>
        <v>#NUM!</v>
      </c>
      <c r="F23" s="333" t="e">
        <f>F24/4</f>
        <v>#NUM!</v>
      </c>
      <c r="G23" s="316"/>
      <c r="H23" s="459" t="s">
        <v>19</v>
      </c>
      <c r="I23" s="464">
        <f>IF(H19&lt;0.08,J25,I24)</f>
        <v>11.0</v>
      </c>
      <c r="J23" s="465">
        <f>IF(I19&lt;0.08,J25,J24)</f>
        <v>11.0</v>
      </c>
      <c r="K23" s="316"/>
      <c r="L23" s="321"/>
      <c r="M23" s="477">
        <v>0.95</v>
      </c>
      <c r="N23" s="478">
        <f t="shared" si="3" ref="N23">N5</f>
        <v>289.17</v>
      </c>
      <c r="O23" s="478">
        <f t="shared" si="0"/>
        <v>0.9044</v>
      </c>
      <c r="P23" s="323"/>
      <c r="Q23" s="323"/>
      <c r="R23" s="366" t="s">
        <v>89</v>
      </c>
      <c r="S23" s="367">
        <f>S22*V26</f>
        <v>-2.8652718227651355</v>
      </c>
      <c r="T23" s="322"/>
      <c r="U23" s="366"/>
      <c r="V23" s="368"/>
      <c r="W23" s="291">
        <f>O24*(Y26-N25)*(Y26-N26)/((N24-N25)*(N24-N26))+O25*(Y26-N24)*(Y26-N26)/((N25-N24)*(N25-N26))+O26*(Y26-N24)*(Y26-N25)/((N26-N24)*(N26-N25))</f>
        <v>0.818588444906756</v>
      </c>
      <c r="X23" s="340" t="s">
        <v>9</v>
      </c>
      <c r="Y23" s="355">
        <f>IF((Y26&gt;0),((100+(S28/-U33))/100))</f>
        <v>0.9795215440271791</v>
      </c>
      <c r="Z23" s="379"/>
      <c r="AA23" s="380">
        <f t="shared" si="4" ref="AA23:AC23">AA5</f>
        <v>3.1</v>
      </c>
      <c r="AB23" s="381">
        <f t="shared" si="4"/>
        <v>2.8</v>
      </c>
      <c r="AC23" s="382">
        <f t="shared" si="4"/>
        <v>2.5</v>
      </c>
      <c r="AD23" s="372">
        <f>AA23*(AD21-AB21)*(AD21-AC21)/((AA21-AB21)*(AA21-AC21))+AB23*(AD21-AA21)*(AD21-AC21)/((AB21-AA21)*(AB21-AC21))+AC23*(AD21-AA21)*(AD21-AB21)/((AC21-AA21)*(AC21-AB21))</f>
        <v>2.901118434091982</v>
      </c>
      <c r="AE23" s="323"/>
    </row>
    <row r="24" spans="8:8" ht="15.0">
      <c r="A24" s="457"/>
      <c r="B24" s="458"/>
      <c r="C24" s="316"/>
      <c r="D24" s="347" t="s">
        <v>2</v>
      </c>
      <c r="E24" s="348" t="e">
        <f>B27*S123+B28*S138</f>
        <v>#NUM!</v>
      </c>
      <c r="F24" s="349" t="e">
        <f>B27*S124+B28*S139</f>
        <v>#NUM!</v>
      </c>
      <c r="G24" s="316"/>
      <c r="H24" s="479"/>
      <c r="I24" s="480">
        <f>IF(H19&gt;(20/72)-0.08,J25,J25-1)</f>
        <v>11.0</v>
      </c>
      <c r="J24" s="481">
        <f>IF(I19&gt;(20/72)-0.08,J25,J25-1)</f>
        <v>11.0</v>
      </c>
      <c r="K24" s="316"/>
      <c r="L24" s="321"/>
      <c r="M24" s="477">
        <v>0.9</v>
      </c>
      <c r="N24" s="476">
        <f t="shared" si="5" ref="N24">N6</f>
        <v>272.48</v>
      </c>
      <c r="O24" s="476">
        <f t="shared" si="0"/>
        <v>0.7691</v>
      </c>
      <c r="P24" s="323"/>
      <c r="Q24" s="323"/>
      <c r="R24" s="388" t="s">
        <v>90</v>
      </c>
      <c r="S24" s="389">
        <f>S22/V27</f>
        <v>-2.757152815408955</v>
      </c>
      <c r="T24" s="322"/>
      <c r="U24" s="366" t="s">
        <v>97</v>
      </c>
      <c r="V24" s="368">
        <f>$AO$2*$B$18*Y20*0.98*(1-(S28*0.016))</f>
        <v>-2.5827210416473543</v>
      </c>
      <c r="W24" s="325"/>
      <c r="X24" s="340" t="s">
        <v>10</v>
      </c>
      <c r="Y24" s="355">
        <f>IF((Y26&gt;0),((100+(S28/-U34))/100))</f>
        <v>0.9821071442911264</v>
      </c>
      <c r="Z24" s="341"/>
      <c r="AA24" s="323"/>
      <c r="AB24" s="323"/>
      <c r="AC24" s="323"/>
      <c r="AD24" s="323"/>
      <c r="AE24" s="323"/>
    </row>
    <row r="25" spans="8:8" ht="15.0">
      <c r="A25" s="314" t="s">
        <v>411</v>
      </c>
      <c r="B25" s="315">
        <v>-1.0</v>
      </c>
      <c r="C25" s="316"/>
      <c r="D25" s="318" t="s">
        <v>3</v>
      </c>
      <c r="E25" s="332" t="e">
        <f>B20*R123+B21*R141</f>
        <v>#NUM!</v>
      </c>
      <c r="F25" s="333" t="e">
        <f>B20*R124+B21*R142</f>
        <v>#NUM!</v>
      </c>
      <c r="G25" s="316"/>
      <c r="H25" s="482" t="s">
        <v>412</v>
      </c>
      <c r="I25" s="483"/>
      <c r="J25" s="484">
        <v>11.0</v>
      </c>
      <c r="K25" s="316"/>
      <c r="L25" s="321"/>
      <c r="M25" s="477">
        <v>0.85</v>
      </c>
      <c r="N25" s="478">
        <f t="shared" si="6" ref="N25">N7</f>
        <v>256.11</v>
      </c>
      <c r="O25" s="478">
        <f t="shared" si="0"/>
        <v>0.6465</v>
      </c>
      <c r="P25" s="323"/>
      <c r="Q25" s="323"/>
      <c r="R25" s="322"/>
      <c r="S25" s="322"/>
      <c r="T25" s="322"/>
      <c r="U25" s="366" t="s">
        <v>98</v>
      </c>
      <c r="V25" s="368">
        <f>$AO$2*$B$18*Y20*1.25*(1-(S28*0.016))</f>
        <v>-3.294287042917544</v>
      </c>
      <c r="W25" s="392" t="s">
        <v>350</v>
      </c>
      <c r="X25" s="340" t="s">
        <v>105</v>
      </c>
      <c r="Y25" s="340">
        <f>Y20*Calculadora!$B$5/4</f>
        <v>0.0</v>
      </c>
      <c r="Z25" s="341"/>
      <c r="AA25" s="323"/>
      <c r="AB25" s="323"/>
      <c r="AC25" s="323"/>
      <c r="AD25" s="323"/>
      <c r="AE25" s="323"/>
    </row>
    <row r="26" spans="8:8" ht="15.0">
      <c r="A26" s="330" t="s">
        <v>413</v>
      </c>
      <c r="B26" s="363">
        <v>65.0</v>
      </c>
      <c r="C26" s="316"/>
      <c r="D26" s="374" t="s">
        <v>24</v>
      </c>
      <c r="E26" s="375" t="e">
        <f>INDEX(Caliper!$F$291:$F$363,(ROUNDUP(((E25-80)/(20/72))+1,0)),1)</f>
        <v>#NUM!</v>
      </c>
      <c r="F26" s="376" t="e">
        <f>INDEX(Caliper!$F$291:$F$363,(ROUNDUP(((F25-80)/(20/72))+1,0)),1)</f>
        <v>#NUM!</v>
      </c>
      <c r="G26" s="316"/>
      <c r="H26" s="316"/>
      <c r="I26" s="316"/>
      <c r="J26" s="316"/>
      <c r="K26" s="316"/>
      <c r="L26" s="321"/>
      <c r="M26" s="477">
        <v>0.8</v>
      </c>
      <c r="N26" s="485">
        <f t="shared" si="7" ref="N26">N8</f>
        <v>240.45</v>
      </c>
      <c r="O26" s="485">
        <f t="shared" si="0"/>
        <v>0.5488</v>
      </c>
      <c r="P26" s="323"/>
      <c r="Q26" s="322"/>
      <c r="R26" s="340" t="s">
        <v>91</v>
      </c>
      <c r="S26" s="322"/>
      <c r="T26" s="322"/>
      <c r="U26" s="366" t="s">
        <v>99</v>
      </c>
      <c r="V26" s="368">
        <f>(100+(V24*2.75/-4))/100</f>
        <v>1.0177562071613255</v>
      </c>
      <c r="W26" s="325"/>
      <c r="X26" s="340" t="s">
        <v>106</v>
      </c>
      <c r="Y26" s="340">
        <f>AH13</f>
        <v>278.4</v>
      </c>
      <c r="Z26" s="323"/>
      <c r="AA26" s="323"/>
      <c r="AB26" s="323"/>
      <c r="AC26" s="323"/>
      <c r="AD26" s="323"/>
      <c r="AE26" s="323"/>
    </row>
    <row r="27" spans="8:8" ht="15.75">
      <c r="A27" s="466" t="s">
        <v>407</v>
      </c>
      <c r="B27" s="467">
        <f>(B1-B23)/(B1)</f>
        <v>0.6910919540229885</v>
      </c>
      <c r="C27" s="316"/>
      <c r="D27" s="387" t="s">
        <v>19</v>
      </c>
      <c r="E27" s="83" t="e">
        <f>J50</f>
        <v>#NUM!</v>
      </c>
      <c r="F27" s="83" t="e">
        <f>J51</f>
        <v>#NUM!</v>
      </c>
      <c r="G27" s="316"/>
      <c r="H27" s="316"/>
      <c r="I27" s="316"/>
      <c r="J27" s="316"/>
      <c r="K27" s="316"/>
      <c r="L27" s="321"/>
      <c r="M27" s="323"/>
      <c r="N27" s="323"/>
      <c r="O27" s="323"/>
      <c r="P27" s="323"/>
      <c r="Q27" s="322"/>
      <c r="R27" s="352"/>
      <c r="S27" s="354"/>
      <c r="T27" s="322"/>
      <c r="U27" s="388" t="s">
        <v>100</v>
      </c>
      <c r="V27" s="402">
        <f>(100+(V25*4/-6.25))/100</f>
        <v>1.0210834370746722</v>
      </c>
      <c r="W27" s="325"/>
      <c r="X27" s="325"/>
      <c r="Y27" s="322"/>
      <c r="Z27" s="323"/>
      <c r="AA27" s="323"/>
      <c r="AB27" s="323"/>
      <c r="AC27" s="323"/>
      <c r="AD27" s="323"/>
      <c r="AE27" s="323"/>
    </row>
    <row r="28" spans="8:8" ht="15.0" customHeight="1">
      <c r="A28" s="472" t="s">
        <v>408</v>
      </c>
      <c r="B28" s="467">
        <f>(B23)/(B1)</f>
        <v>0.30890804597701155</v>
      </c>
      <c r="C28" s="486"/>
      <c r="D28" s="316"/>
      <c r="E28" s="316"/>
      <c r="F28" s="316"/>
      <c r="G28" s="316"/>
      <c r="H28" s="316"/>
      <c r="I28" s="316"/>
      <c r="J28" s="316"/>
      <c r="K28" s="316"/>
      <c r="L28" s="321"/>
      <c r="M28" s="323"/>
      <c r="N28" s="323"/>
      <c r="O28" s="323"/>
      <c r="P28" s="323"/>
      <c r="Q28" s="322"/>
      <c r="R28" s="366" t="s">
        <v>92</v>
      </c>
      <c r="S28" s="368">
        <f>IF($B$2&gt;0,$B$2*Y21,$B$2*Y22)</f>
        <v>5.19092935355613</v>
      </c>
      <c r="T28" s="322"/>
      <c r="U28" s="325"/>
      <c r="V28" s="325"/>
      <c r="W28" s="407"/>
      <c r="X28" s="323"/>
      <c r="Y28" s="322"/>
      <c r="Z28" s="323"/>
      <c r="AA28" s="323"/>
      <c r="AB28" s="323"/>
      <c r="AC28" s="323"/>
      <c r="AD28" s="323"/>
      <c r="AE28" s="323"/>
    </row>
    <row r="29" spans="8:8" ht="15.0" customHeight="1">
      <c r="A29" s="486"/>
      <c r="B29" s="486"/>
      <c r="C29" s="486"/>
      <c r="D29" s="487"/>
      <c r="E29" s="488" t="s">
        <v>169</v>
      </c>
      <c r="F29" s="488" t="s">
        <v>170</v>
      </c>
      <c r="G29" s="386"/>
      <c r="H29" s="487" t="s">
        <v>415</v>
      </c>
      <c r="I29" s="488" t="s">
        <v>169</v>
      </c>
      <c r="J29" s="488" t="s">
        <v>170</v>
      </c>
      <c r="K29" s="316"/>
      <c r="L29" s="321"/>
      <c r="M29" s="412" t="s">
        <v>7</v>
      </c>
      <c r="N29" s="413">
        <v>0.01</v>
      </c>
      <c r="O29" s="414">
        <f>O11</f>
        <v>0.672</v>
      </c>
      <c r="P29" s="322"/>
      <c r="Q29" s="322"/>
      <c r="R29" s="388"/>
      <c r="S29" s="402"/>
      <c r="T29" s="322"/>
      <c r="U29" s="352" t="s">
        <v>103</v>
      </c>
      <c r="V29" s="415">
        <f>Y26+S28-V24</f>
        <v>286.17365039520337</v>
      </c>
      <c r="W29" s="416">
        <f>Y26+S28</f>
        <v>283.59092935355613</v>
      </c>
      <c r="X29" s="323"/>
      <c r="Y29" s="323"/>
      <c r="Z29" s="323"/>
      <c r="AA29" s="412" t="s">
        <v>13</v>
      </c>
      <c r="AB29" s="413">
        <v>-0.01</v>
      </c>
      <c r="AC29" s="414">
        <f>AC11</f>
        <v>0.612</v>
      </c>
      <c r="AD29" s="323"/>
      <c r="AE29" s="323"/>
    </row>
    <row r="30" spans="8:8" ht="15.0">
      <c r="A30" s="486"/>
      <c r="B30" s="486"/>
      <c r="C30" s="486"/>
      <c r="D30" s="489" t="s">
        <v>416</v>
      </c>
      <c r="E30" s="490">
        <v>54.0</v>
      </c>
      <c r="F30" s="490">
        <v>54.0</v>
      </c>
      <c r="G30" s="386"/>
      <c r="H30" s="489">
        <v>7.0</v>
      </c>
      <c r="I30" s="490">
        <v>34.0</v>
      </c>
      <c r="J30" s="490">
        <v>31.0</v>
      </c>
      <c r="K30" s="316"/>
      <c r="L30" s="321"/>
      <c r="M30" s="412" t="s">
        <v>7</v>
      </c>
      <c r="N30" s="413">
        <v>5.0</v>
      </c>
      <c r="O30" s="414">
        <f t="shared" si="8" ref="O30:O33">O12</f>
        <v>0.678</v>
      </c>
      <c r="P30" s="322"/>
      <c r="Q30" s="325"/>
      <c r="R30" s="422"/>
      <c r="S30" s="323"/>
      <c r="T30" s="322"/>
      <c r="U30" s="388" t="s">
        <v>104</v>
      </c>
      <c r="V30" s="423">
        <f>Y26+S28+V25</f>
        <v>280.2966423106385</v>
      </c>
      <c r="W30" s="323"/>
      <c r="X30" s="323"/>
      <c r="Y30" s="323"/>
      <c r="Z30" s="323"/>
      <c r="AA30" s="412" t="s">
        <v>13</v>
      </c>
      <c r="AB30" s="413">
        <v>-10.0</v>
      </c>
      <c r="AC30" s="414">
        <f t="shared" si="9" ref="AC30:AC33">AC12</f>
        <v>0.596</v>
      </c>
      <c r="AD30" s="323"/>
      <c r="AE30" s="323"/>
    </row>
    <row r="31" spans="8:8" ht="15.0">
      <c r="A31" s="491" t="s">
        <v>417</v>
      </c>
      <c r="B31" s="492">
        <f>B18</f>
        <v>-5.0</v>
      </c>
      <c r="C31" s="486"/>
      <c r="D31" s="489" t="s">
        <v>418</v>
      </c>
      <c r="E31" s="490">
        <v>52.0</v>
      </c>
      <c r="F31" s="490">
        <v>52.0</v>
      </c>
      <c r="G31" s="386"/>
      <c r="H31" s="489">
        <v>13.0</v>
      </c>
      <c r="I31" s="490">
        <v>90.0</v>
      </c>
      <c r="J31" s="490">
        <v>88.0</v>
      </c>
      <c r="K31" s="316"/>
      <c r="L31" s="321"/>
      <c r="M31" s="412" t="s">
        <v>7</v>
      </c>
      <c r="N31" s="413">
        <v>10.0</v>
      </c>
      <c r="O31" s="414">
        <f t="shared" si="8"/>
        <v>0.681</v>
      </c>
      <c r="P31" s="322"/>
      <c r="Q31" s="325"/>
      <c r="R31" s="422"/>
      <c r="S31" s="323"/>
      <c r="T31" s="322"/>
      <c r="U31" s="322"/>
      <c r="V31" s="322"/>
      <c r="W31" s="322"/>
      <c r="X31" s="325"/>
      <c r="Y31" s="323"/>
      <c r="Z31" s="323"/>
      <c r="AA31" s="412" t="s">
        <v>13</v>
      </c>
      <c r="AB31" s="413">
        <v>-20.0</v>
      </c>
      <c r="AC31" s="414">
        <f t="shared" si="9"/>
        <v>0.588</v>
      </c>
      <c r="AD31" s="323"/>
      <c r="AE31" s="323"/>
    </row>
    <row r="32" spans="8:8" ht="15.0">
      <c r="A32" s="491" t="s">
        <v>419</v>
      </c>
      <c r="B32" s="492">
        <f>SIN(RADIANS(B19))</f>
        <v>0.9781476007338057</v>
      </c>
      <c r="C32" s="486"/>
      <c r="D32" s="489" t="s">
        <v>420</v>
      </c>
      <c r="E32" s="490">
        <v>50.0</v>
      </c>
      <c r="F32" s="490">
        <v>50.0</v>
      </c>
      <c r="G32" s="386"/>
      <c r="H32" s="489">
        <v>16.0</v>
      </c>
      <c r="I32" s="490">
        <v>45.0</v>
      </c>
      <c r="J32" s="490">
        <v>45.0</v>
      </c>
      <c r="K32" s="316"/>
      <c r="L32" s="321"/>
      <c r="M32" s="439" t="s">
        <v>7</v>
      </c>
      <c r="N32" s="338">
        <v>15.0</v>
      </c>
      <c r="O32" s="414">
        <f t="shared" si="8"/>
        <v>0.695</v>
      </c>
      <c r="P32" s="322"/>
      <c r="Q32" s="340" t="s">
        <v>95</v>
      </c>
      <c r="R32" s="340" t="s">
        <v>96</v>
      </c>
      <c r="S32" s="340" t="s">
        <v>77</v>
      </c>
      <c r="T32" s="322"/>
      <c r="U32" s="340" t="s">
        <v>14</v>
      </c>
      <c r="V32" s="340" t="s">
        <v>78</v>
      </c>
      <c r="W32" s="340" t="s">
        <v>15</v>
      </c>
      <c r="X32" s="322"/>
      <c r="Y32" s="440" t="s">
        <v>2</v>
      </c>
      <c r="Z32" s="323"/>
      <c r="AA32" s="412" t="s">
        <v>13</v>
      </c>
      <c r="AB32" s="338">
        <v>-30.0</v>
      </c>
      <c r="AC32" s="414">
        <f t="shared" si="9"/>
        <v>0.569</v>
      </c>
      <c r="AD32" s="322"/>
      <c r="AE32" s="323"/>
    </row>
    <row r="33" spans="8:8" ht="15.0">
      <c r="A33" s="493" t="s">
        <v>421</v>
      </c>
      <c r="B33" s="492">
        <f>COS(RADIANS(B19))</f>
        <v>0.20791169081775923</v>
      </c>
      <c r="C33" s="486"/>
      <c r="D33" s="489" t="s">
        <v>422</v>
      </c>
      <c r="E33" s="490">
        <v>135.0</v>
      </c>
      <c r="F33" s="490">
        <v>143.0</v>
      </c>
      <c r="G33" s="386"/>
      <c r="H33" s="489"/>
      <c r="I33" s="490"/>
      <c r="J33" s="490"/>
      <c r="K33" s="316"/>
      <c r="L33" s="321"/>
      <c r="M33" s="412" t="s">
        <v>7</v>
      </c>
      <c r="N33" s="413">
        <v>20.0</v>
      </c>
      <c r="O33" s="414">
        <f t="shared" si="8"/>
        <v>0.701</v>
      </c>
      <c r="P33" s="444" t="s">
        <v>101</v>
      </c>
      <c r="Q33" s="445">
        <f>INDEX(Caliper!$F$291:$F$363,(ROUNDUP(((R33-80)/(20/72))+1,0)),1)</f>
        <v>284.3833333333539</v>
      </c>
      <c r="R33" s="446">
        <f>100*(V29-N23)*(V29-N24)*(V29-N25)*(V29-N26)/((N22-N23)*(N22-N24)*(N22-N25)*(N22-N26))+95*(V29-N22)*(V29-N24)*(V29-N25)*(V29-N26)/((N23-N22)*(N23-N24)*(N23-N25)*(N23-N26))+90*(V29-N22)*(V29-N23)*(V29-N25)*(V29-N26)/((N24-N22)*(N24-N23)*(N24-N25)*(N24-N26))+85*(V29-N22)*(V29-N23)*(V29-N24)*(V29-N26)/((N25-N22)*(N25-N23)*(N25-N24)*(N25-N26))+80*(V29-N22)*(V29-N23)*(V29-N24)*(V29-N25)/((N26-N22)*(N26-N23)*(N26-N24)*(N26-N25))</f>
        <v>94.1054380082655</v>
      </c>
      <c r="S33" s="446">
        <f>S23+Y25</f>
        <v>-2.86527182276514</v>
      </c>
      <c r="T33" s="447" t="s">
        <v>7</v>
      </c>
      <c r="U33" s="355">
        <f>AD22</f>
        <v>2.534824578789307</v>
      </c>
      <c r="V33" s="448">
        <v>1.0109</v>
      </c>
      <c r="W33" s="355">
        <f>O34</f>
        <v>0.6779317404310771</v>
      </c>
      <c r="X33" s="322">
        <f>Y25*0.895</f>
        <v>0.0</v>
      </c>
      <c r="Y33" s="449">
        <f>S33/0.218</f>
        <v>-13.143448728280458</v>
      </c>
      <c r="Z33" s="323"/>
      <c r="AA33" s="412" t="s">
        <v>13</v>
      </c>
      <c r="AB33" s="413">
        <v>-40.0</v>
      </c>
      <c r="AC33" s="414">
        <f t="shared" si="9"/>
        <v>0.558</v>
      </c>
      <c r="AD33" s="322"/>
      <c r="AE33" s="323"/>
    </row>
    <row r="34" spans="8:8" ht="15.0">
      <c r="A34" s="486"/>
      <c r="B34" s="486"/>
      <c r="C34" s="486"/>
      <c r="D34" s="489" t="s">
        <v>423</v>
      </c>
      <c r="E34" s="490">
        <v>125.0</v>
      </c>
      <c r="F34" s="490">
        <v>133.0</v>
      </c>
      <c r="G34" s="316"/>
      <c r="H34" s="489"/>
      <c r="I34" s="490"/>
      <c r="J34" s="490"/>
      <c r="K34" s="316"/>
      <c r="L34" s="321"/>
      <c r="M34" s="412" t="s">
        <v>74</v>
      </c>
      <c r="N34" s="455">
        <f>$B$2</f>
        <v>5.68</v>
      </c>
      <c r="O34" s="456">
        <f>O29*(N34-N30)*(N34-N31)*(N34-N32)*(N34-N33)/((N29-N30)*(N29-N31)*(N29-N32)*(N29-N33))+O30*(N34-N29)*(N34-N31)*(N34-N32)*(N34-N33)/((N30-N29)*(N30-N31)*(N30-N32)*(N30-N33))+O31*(N34-N29)*(N34-N30)*(N34-N32)*(N34-N33)/((N31-N29)*(N31-N30)*(N31-N32)*(N31-N33))+O32*(N34-N29)*(N34-N30)*(N34-N31)*(N34-N33)/((N32-N29)*(N32-N30)*(N32-N31)*(N32-N33))+O33*(N34-N29)*(N34-N30)*(N34-N31)*(N34-N32)/((N33-N29)*(N33-N30)*(N33-N31)*(N33-N32))</f>
        <v>0.6779317404310771</v>
      </c>
      <c r="P34" s="340" t="s">
        <v>102</v>
      </c>
      <c r="Q34" s="445">
        <f>INDEX(Caliper!$F$291:$F$363,(ROUNDUP(((R34-80)/(20/72))+1,0)),1)</f>
        <v>279.36000000001997</v>
      </c>
      <c r="R34" s="446">
        <f>100*(V30-N23)*(V30-N24)*(V30-N25)*(V30-N26)/((N22-N23)*(N22-N24)*(N22-N25)*(N22-N26))+95*(V30-N22)*(V30-N24)*(V30-N25)*(V30-N26)/((N23-N22)*(N23-N24)*(N23-N25)*(N23-N26))+90*(V30-N22)*(V30-N23)*(V30-N25)*(V30-N26)/((N24-N22)*(N24-N23)*(N24-N25)*(N24-N26))+85*(V30-N22)*(V30-N23)*(V30-N24)*(V30-N26)/((N25-N22)*(N25-N23)*(N25-N24)*(N25-N26))+80*(V30-N22)*(V30-N23)*(V30-N24)*(V30-N25)/((N26-N22)*(N26-N23)*(N26-N24)*(N26-N25))</f>
        <v>92.347914725951</v>
      </c>
      <c r="S34" s="446">
        <f>S24+Y25</f>
        <v>-2.75715281540896</v>
      </c>
      <c r="T34" s="340" t="s">
        <v>13</v>
      </c>
      <c r="U34" s="340">
        <f>AD23</f>
        <v>2.901118434091982</v>
      </c>
      <c r="V34" s="448">
        <v>1.0115</v>
      </c>
      <c r="W34" s="355">
        <f>AC34</f>
        <v>0.644911873991608</v>
      </c>
      <c r="X34" s="322"/>
      <c r="Y34" s="449">
        <f>S34/0.218</f>
        <v>-12.647489978940182</v>
      </c>
      <c r="Z34" s="323"/>
      <c r="AA34" s="412" t="s">
        <v>16</v>
      </c>
      <c r="AB34" s="455">
        <f>$B$2</f>
        <v>5.68</v>
      </c>
      <c r="AC34" s="456">
        <f>AC29*(AB34-AB30)*(AB34-AB31)*(AB34-AB32)*(AB34-AB33)/((AB29-AB30)*(AB29-AB31)*(AB29-AB32)*(AB29-AB33))+AC30*(AB34-AB29)*(AB34-AB31)*(AB34-AB32)*(AB34-AB33)/((AB30-AB29)*(AB30-AB31)*(AB30-AB32)*(AB30-AB33))+AC31*(AB34-AB29)*(AB34-AB30)*(AB34-AB32)*(AB34-AB33)/((AB31-AB29)*(AB31-AB30)*(AB31-AB32)*(AB31-AB33))+AC32*(AB34-AB29)*(AB34-AB30)*(AB34-AB31)*(AB34-AB33)/((AB32-AB29)*(AB32-AB30)*(AB32-AB31)*(AB32-AB33))+AC33*(AB34-AB29)*(AB34-AB30)*(AB34-AB31)*(AB34-AB32)/((AB33-AB29)*(AB33-AB30)*(AB33-AB31)*(AB33-AB32))</f>
        <v>0.644911873991608</v>
      </c>
      <c r="AD34" s="322"/>
      <c r="AE34" s="322"/>
    </row>
    <row r="35" spans="8:8" ht="15.0">
      <c r="A35" s="486"/>
      <c r="B35" s="486"/>
      <c r="C35" s="486"/>
      <c r="D35" s="489" t="s">
        <v>424</v>
      </c>
      <c r="E35" s="490">
        <v>130.0</v>
      </c>
      <c r="F35" s="490">
        <v>130.0</v>
      </c>
      <c r="G35" s="316"/>
      <c r="H35" s="489"/>
      <c r="I35" s="490"/>
      <c r="J35" s="490"/>
      <c r="K35" s="316"/>
      <c r="L35" s="321"/>
      <c r="M35" s="322"/>
      <c r="N35" s="322"/>
      <c r="O35" s="322"/>
      <c r="P35" s="322"/>
      <c r="Q35" s="322"/>
      <c r="R35" s="322"/>
      <c r="S35" s="322"/>
      <c r="T35" s="322"/>
      <c r="U35" s="322"/>
      <c r="V35" s="322"/>
      <c r="W35" s="322"/>
      <c r="X35" s="322"/>
      <c r="Y35" s="322"/>
      <c r="Z35" s="322"/>
      <c r="AA35" s="322"/>
      <c r="AB35" s="322"/>
      <c r="AC35" s="322"/>
      <c r="AD35" s="322"/>
      <c r="AE35" s="322"/>
    </row>
    <row r="36" spans="8:8" ht="15.0">
      <c r="A36" s="491" t="s">
        <v>425</v>
      </c>
      <c r="B36" s="492">
        <f>B25</f>
        <v>-1.0</v>
      </c>
      <c r="C36" s="486"/>
      <c r="D36" s="489" t="s">
        <v>426</v>
      </c>
      <c r="E36" s="490">
        <v>110.0</v>
      </c>
      <c r="F36" s="490">
        <v>110.0</v>
      </c>
      <c r="G36" s="316"/>
      <c r="H36" s="489"/>
      <c r="I36" s="490"/>
      <c r="J36" s="490"/>
      <c r="K36" s="316"/>
      <c r="L36" s="321"/>
      <c r="M36" s="321"/>
      <c r="N36" s="321"/>
      <c r="O36" s="321"/>
      <c r="P36" s="321"/>
      <c r="Q36" s="462"/>
      <c r="R36" s="321"/>
      <c r="S36" s="321"/>
      <c r="T36" s="321"/>
      <c r="U36" s="321"/>
      <c r="V36" s="321"/>
      <c r="W36" s="321"/>
      <c r="X36" s="321"/>
      <c r="Y36" s="321"/>
      <c r="Z36" s="321"/>
      <c r="AA36" s="321"/>
      <c r="AB36" s="321"/>
      <c r="AC36" s="321"/>
      <c r="AD36" s="321"/>
      <c r="AE36" s="321"/>
      <c r="AF36" s="321"/>
      <c r="AG36" s="321"/>
      <c r="AH36" s="321"/>
    </row>
    <row r="37" spans="8:8" ht="15.0">
      <c r="A37" s="491" t="s">
        <v>427</v>
      </c>
      <c r="B37" s="492">
        <f>SIN(RADIANS(B26))</f>
        <v>0.9063077870366499</v>
      </c>
      <c r="C37" s="486"/>
      <c r="D37" s="489" t="s">
        <v>428</v>
      </c>
      <c r="E37" s="490">
        <v>81.0</v>
      </c>
      <c r="F37" s="490">
        <v>81.0</v>
      </c>
      <c r="G37" s="486"/>
      <c r="H37" s="489"/>
      <c r="I37" s="490"/>
      <c r="J37" s="490"/>
      <c r="K37" s="316"/>
      <c r="L37" s="321"/>
      <c r="M37" s="328"/>
      <c r="N37" s="328"/>
      <c r="O37" s="328"/>
      <c r="P37" s="328"/>
      <c r="Q37" s="494"/>
      <c r="R37" s="328"/>
      <c r="S37" s="328"/>
      <c r="T37" s="328"/>
      <c r="U37" s="328"/>
      <c r="V37" s="328"/>
      <c r="W37" s="328"/>
      <c r="X37" s="328"/>
      <c r="Y37" s="328"/>
      <c r="Z37" s="328"/>
      <c r="AA37" s="328"/>
      <c r="AB37" s="328"/>
      <c r="AC37" s="328"/>
      <c r="AD37" s="328"/>
      <c r="AE37" s="328"/>
      <c r="AF37" s="328"/>
      <c r="AG37" s="328"/>
      <c r="AH37" s="362"/>
    </row>
    <row r="38" spans="8:8" ht="15.0">
      <c r="A38" s="493" t="s">
        <v>429</v>
      </c>
      <c r="B38" s="492">
        <f>COS(RADIANS(B26))</f>
        <v>0.42261826174069944</v>
      </c>
      <c r="C38" s="486"/>
      <c r="D38" s="489" t="s">
        <v>430</v>
      </c>
      <c r="E38" s="490">
        <v>88.0</v>
      </c>
      <c r="F38" s="490">
        <v>88.0</v>
      </c>
      <c r="G38" s="486"/>
      <c r="H38" s="489"/>
      <c r="I38" s="490"/>
      <c r="J38" s="490"/>
      <c r="K38" s="316"/>
      <c r="L38" s="321"/>
      <c r="M38" s="495" t="s">
        <v>21</v>
      </c>
      <c r="N38" s="496">
        <v>1.0</v>
      </c>
      <c r="O38" s="496">
        <v>0.9</v>
      </c>
      <c r="P38" s="496">
        <v>0.8</v>
      </c>
      <c r="Q38" s="494"/>
      <c r="R38" s="433" t="s">
        <v>287</v>
      </c>
      <c r="S38" s="328"/>
      <c r="T38" s="328"/>
      <c r="U38" s="433" t="s">
        <v>382</v>
      </c>
      <c r="V38" s="328"/>
      <c r="W38" s="328"/>
      <c r="X38" s="433" t="s">
        <v>287</v>
      </c>
      <c r="Y38" s="433" t="e">
        <f>N40*(Y44-O39)*(Y44-P39)/((N39-O39)*(N39-P39))+O40*(Y44-N39)*(Y44-P39)/((O39-N39)*(O39-P39))+P40*(Y44-N39)*(Y44-O39)/((P39-N39)*(P39-O39))</f>
        <v>#DIV/0!</v>
      </c>
      <c r="Z38" s="328"/>
      <c r="AA38" s="328"/>
      <c r="AB38" s="328"/>
      <c r="AC38" s="328"/>
      <c r="AD38" s="328"/>
      <c r="AE38" s="328"/>
      <c r="AF38" s="328"/>
      <c r="AG38" s="328"/>
      <c r="AH38" s="362"/>
    </row>
    <row r="39" spans="8:8" ht="15.0">
      <c r="A39" s="486"/>
      <c r="B39" s="486"/>
      <c r="C39" s="486"/>
      <c r="D39" s="489"/>
      <c r="E39" s="490"/>
      <c r="F39" s="490"/>
      <c r="G39" s="486"/>
      <c r="H39" s="489"/>
      <c r="I39" s="490"/>
      <c r="J39" s="490"/>
      <c r="K39" s="316"/>
      <c r="L39" s="321"/>
      <c r="M39" s="497" t="s">
        <v>260</v>
      </c>
      <c r="N39" s="498"/>
      <c r="O39" s="499"/>
      <c r="P39" s="500"/>
      <c r="Q39" s="494"/>
      <c r="R39" s="433" t="s">
        <v>383</v>
      </c>
      <c r="S39" s="501" t="e">
        <f>Y38*$AO$2*$B$3</f>
        <v>#DIV/0!</v>
      </c>
      <c r="T39" s="328"/>
      <c r="U39" s="328"/>
      <c r="V39" s="328"/>
      <c r="W39" s="328"/>
      <c r="X39" s="433" t="s">
        <v>7</v>
      </c>
      <c r="Y39" s="501" t="e">
        <f>W51*POWER(V51,(N39-Y44))</f>
        <v>#NUM!</v>
      </c>
      <c r="Z39" s="328"/>
      <c r="AA39" s="328"/>
      <c r="AB39" s="328"/>
      <c r="AC39" s="328"/>
      <c r="AD39" s="328"/>
      <c r="AE39" s="328"/>
      <c r="AF39" s="328"/>
      <c r="AG39" s="328"/>
      <c r="AH39" s="362"/>
    </row>
    <row r="40" spans="8:8" ht="15.0">
      <c r="A40" s="486"/>
      <c r="B40" s="486"/>
      <c r="C40" s="486"/>
      <c r="D40" s="489"/>
      <c r="E40" s="490"/>
      <c r="F40" s="490"/>
      <c r="G40" s="486"/>
      <c r="H40" s="489"/>
      <c r="I40" s="490"/>
      <c r="J40" s="490"/>
      <c r="K40" s="316"/>
      <c r="L40" s="321"/>
      <c r="M40" s="502" t="s">
        <v>287</v>
      </c>
      <c r="N40" s="497"/>
      <c r="O40" s="503"/>
      <c r="P40" s="504"/>
      <c r="Q40" s="494"/>
      <c r="R40" s="433" t="s">
        <v>384</v>
      </c>
      <c r="S40" s="501" t="e">
        <f>IF(S46&gt;0,S39*Y41,S39*Y42)</f>
        <v>#NUM!</v>
      </c>
      <c r="T40" s="328"/>
      <c r="U40" s="433" t="s">
        <v>385</v>
      </c>
      <c r="V40" s="433" t="e">
        <f>Y38*$B$3*$AO$1</f>
        <v>#DIV/0!</v>
      </c>
      <c r="W40" s="328"/>
      <c r="X40" s="433" t="s">
        <v>8</v>
      </c>
      <c r="Y40" s="501" t="e">
        <f>W52*POWER(V52,(N39-Y44))</f>
        <v>#NUM!</v>
      </c>
      <c r="Z40" s="328"/>
      <c r="AA40" s="328"/>
      <c r="AB40" s="328"/>
      <c r="AC40" s="328"/>
      <c r="AD40" s="328"/>
      <c r="AE40" s="328"/>
      <c r="AF40" s="328"/>
      <c r="AG40" s="328"/>
      <c r="AH40" s="362"/>
    </row>
    <row r="41" spans="8:8" ht="15.0">
      <c r="A41" s="486"/>
      <c r="B41" s="486"/>
      <c r="C41" s="486"/>
      <c r="D41" s="489"/>
      <c r="E41" s="490"/>
      <c r="F41" s="490"/>
      <c r="G41" s="486"/>
      <c r="H41" s="489"/>
      <c r="I41" s="490"/>
      <c r="J41" s="490"/>
      <c r="K41" s="316"/>
      <c r="L41" s="321"/>
      <c r="M41" s="328"/>
      <c r="N41" s="328"/>
      <c r="O41" s="328"/>
      <c r="P41" s="328"/>
      <c r="Q41" s="494"/>
      <c r="R41" s="433" t="s">
        <v>386</v>
      </c>
      <c r="S41" s="501" t="e">
        <f>S40*V44</f>
        <v>#NUM!</v>
      </c>
      <c r="T41" s="328"/>
      <c r="U41" s="433"/>
      <c r="V41" s="433"/>
      <c r="W41" s="328"/>
      <c r="X41" s="433" t="s">
        <v>9</v>
      </c>
      <c r="Y41" s="501" t="e">
        <f>IF((Y44&gt;0),((100+(S46/-U51))/100))</f>
        <v>#NUM!</v>
      </c>
      <c r="Z41" s="328"/>
      <c r="AA41" s="362"/>
      <c r="AB41" s="362"/>
      <c r="AC41" s="362"/>
      <c r="AD41" s="328"/>
      <c r="AE41" s="328"/>
      <c r="AF41" s="328"/>
      <c r="AG41" s="328"/>
      <c r="AH41" s="362"/>
    </row>
    <row r="42" spans="8:8" ht="15.0">
      <c r="A42" s="486"/>
      <c r="B42" s="486"/>
      <c r="C42" s="486"/>
      <c r="D42" s="489"/>
      <c r="E42" s="490"/>
      <c r="F42" s="490"/>
      <c r="G42" s="486"/>
      <c r="H42" s="489"/>
      <c r="I42" s="490"/>
      <c r="J42" s="490"/>
      <c r="K42" s="316"/>
      <c r="L42" s="321"/>
      <c r="M42" s="505"/>
      <c r="N42" s="505"/>
      <c r="O42" s="505"/>
      <c r="P42" s="328"/>
      <c r="Q42" s="494"/>
      <c r="R42" s="433" t="s">
        <v>387</v>
      </c>
      <c r="S42" s="501" t="e">
        <f>S40/V45</f>
        <v>#NUM!</v>
      </c>
      <c r="T42" s="328"/>
      <c r="U42" s="433" t="s">
        <v>388</v>
      </c>
      <c r="V42" s="433" t="e">
        <f>$AO$1*$B$3*Y38*0.95*(1-(S46*0.016))</f>
        <v>#DIV/0!</v>
      </c>
      <c r="W42" s="328"/>
      <c r="X42" s="433" t="s">
        <v>10</v>
      </c>
      <c r="Y42" s="501" t="e">
        <f>IF((Y44&gt;0),((100+(S46/-U52))/100))</f>
        <v>#NUM!</v>
      </c>
      <c r="Z42" s="328"/>
      <c r="AA42" s="362"/>
      <c r="AB42" s="362"/>
      <c r="AC42" s="362"/>
      <c r="AD42" s="328"/>
      <c r="AE42" s="328"/>
      <c r="AF42" s="328"/>
      <c r="AG42" s="328"/>
      <c r="AH42" s="362"/>
    </row>
    <row r="43" spans="8:8" ht="15.0">
      <c r="A43" s="506" t="s">
        <v>187</v>
      </c>
      <c r="B43" s="507" t="s">
        <v>189</v>
      </c>
      <c r="C43" s="507"/>
      <c r="D43" s="507"/>
      <c r="G43" s="486"/>
      <c r="H43" s="486"/>
      <c r="I43" s="486"/>
      <c r="J43" s="486"/>
      <c r="K43" s="486"/>
      <c r="L43" s="321"/>
      <c r="M43" s="508" t="s">
        <v>7</v>
      </c>
      <c r="N43" s="509">
        <v>1.0</v>
      </c>
      <c r="O43" s="510"/>
      <c r="P43" s="328"/>
      <c r="Q43" s="494"/>
      <c r="R43" s="328"/>
      <c r="S43" s="328"/>
      <c r="T43" s="328"/>
      <c r="U43" s="433" t="s">
        <v>390</v>
      </c>
      <c r="V43" s="433" t="e">
        <f>$AO$1*$B$3*Y38*1.27*(1-(S46*0.016))</f>
        <v>#DIV/0!</v>
      </c>
      <c r="W43" s="328"/>
      <c r="X43" s="433" t="s">
        <v>256</v>
      </c>
      <c r="Y43" s="433" t="e">
        <f>Y38/4*$B$5</f>
        <v>#DIV/0!</v>
      </c>
      <c r="Z43" s="328"/>
      <c r="AA43" s="362"/>
      <c r="AB43" s="362"/>
      <c r="AC43" s="362"/>
      <c r="AD43" s="328"/>
      <c r="AE43" s="328"/>
      <c r="AF43" s="328"/>
      <c r="AG43" s="328"/>
      <c r="AH43" s="362"/>
    </row>
    <row r="44" spans="8:8" ht="15.0">
      <c r="A44" s="506"/>
      <c r="B44" s="507"/>
      <c r="C44" s="507"/>
      <c r="D44" s="507"/>
      <c r="L44" s="321"/>
      <c r="M44" s="508"/>
      <c r="N44" s="511">
        <v>5.0</v>
      </c>
      <c r="O44" s="512"/>
      <c r="P44" s="328"/>
      <c r="Q44" s="494"/>
      <c r="R44" s="433" t="s">
        <v>394</v>
      </c>
      <c r="S44" s="500"/>
      <c r="T44" s="328"/>
      <c r="U44" s="433" t="s">
        <v>395</v>
      </c>
      <c r="V44" s="433" t="e">
        <f>(100+(V42*2.75/-4))/100</f>
        <v>#DIV/0!</v>
      </c>
      <c r="W44" s="328"/>
      <c r="X44" s="433" t="s">
        <v>11</v>
      </c>
      <c r="Y44" s="433">
        <f>$AH$13</f>
        <v>278.4</v>
      </c>
      <c r="Z44" s="328"/>
      <c r="AA44" s="513" t="s">
        <v>14</v>
      </c>
      <c r="AB44" s="513"/>
      <c r="AC44" s="362"/>
      <c r="AD44" s="362"/>
      <c r="AE44" s="328"/>
      <c r="AF44" s="328"/>
      <c r="AG44" s="328"/>
      <c r="AH44" s="362"/>
    </row>
    <row r="45" spans="8:8" ht="15.75">
      <c r="A45" s="514" t="s">
        <v>38</v>
      </c>
      <c r="B45" s="515">
        <v>303.07</v>
      </c>
      <c r="D45" s="516">
        <v>311.76</v>
      </c>
      <c r="E45" s="517">
        <v>319.69</v>
      </c>
      <c r="F45" s="518"/>
      <c r="H45" s="519" t="s">
        <v>17</v>
      </c>
      <c r="I45" s="520"/>
      <c r="J45" s="521"/>
      <c r="L45" s="321"/>
      <c r="M45" s="508"/>
      <c r="N45" s="511">
        <v>10.0</v>
      </c>
      <c r="O45" s="512"/>
      <c r="P45" s="505"/>
      <c r="Q45" s="494"/>
      <c r="R45" s="497"/>
      <c r="S45" s="504"/>
      <c r="T45" s="328"/>
      <c r="U45" s="433" t="s">
        <v>396</v>
      </c>
      <c r="V45" s="433" t="e">
        <f>(100+(V43*4/-6.25))/100</f>
        <v>#DIV/0!</v>
      </c>
      <c r="W45" s="328"/>
      <c r="X45" s="328"/>
      <c r="Y45" s="328"/>
      <c r="Z45" s="328"/>
      <c r="AA45" s="522">
        <f>N45</f>
        <v>10.0</v>
      </c>
      <c r="AB45" s="522">
        <f>O45</f>
        <v>0.0</v>
      </c>
      <c r="AC45" s="522">
        <f>P45</f>
        <v>0.0</v>
      </c>
      <c r="AD45" s="523">
        <f>W53</f>
        <v>0.0</v>
      </c>
      <c r="AE45" s="328"/>
      <c r="AF45" s="328"/>
      <c r="AG45" s="328"/>
      <c r="AH45" s="362"/>
    </row>
    <row r="46" spans="8:8" ht="15.75">
      <c r="A46" s="514"/>
      <c r="B46" s="524">
        <v>-7.67</v>
      </c>
      <c r="D46" s="524">
        <v>-8.28</v>
      </c>
      <c r="E46" s="524">
        <v>-7.68</v>
      </c>
      <c r="F46" s="518"/>
      <c r="H46" s="525" t="e">
        <f>MOD(E25,100/360)</f>
        <v>#NUM!</v>
      </c>
      <c r="I46" s="526" t="e">
        <f>H46*360</f>
        <v>#NUM!</v>
      </c>
      <c r="J46" s="527" t="e">
        <f>IF(I46&lt;I48,ROUNDDOWN(I46/100,0),ROUNDUP(I46/100,0))</f>
        <v>#NUM!</v>
      </c>
      <c r="L46" s="321"/>
      <c r="M46" s="528"/>
      <c r="N46" s="529">
        <v>20.0</v>
      </c>
      <c r="O46" s="530"/>
      <c r="P46" s="505"/>
      <c r="Q46" s="494"/>
      <c r="R46" s="433" t="s">
        <v>397</v>
      </c>
      <c r="S46" s="504" t="e">
        <f>IF($B$2&gt;0,$B$2*Y39,$B$2*Y40)</f>
        <v>#NUM!</v>
      </c>
      <c r="T46" s="328"/>
      <c r="U46" s="328"/>
      <c r="V46" s="328"/>
      <c r="W46" s="328"/>
      <c r="X46" s="328"/>
      <c r="Y46" s="328"/>
      <c r="Z46" s="328"/>
      <c r="AA46" s="531">
        <v>3.75</v>
      </c>
      <c r="AB46" s="532">
        <v>3.75</v>
      </c>
      <c r="AC46" s="533">
        <v>3.75</v>
      </c>
      <c r="AD46" s="534" t="e">
        <f>AA46*(AD45-AB45)*(AD45-AC45)/((AA45-AB45)*(AA45-AC45))+AB46*(AD45-AA45)*(AD45-AC45)/((AB45-AA45)*(AB45-AC45))+AC46*(AD45-AA45)*(AD45-AB45)/((AC45-AA45)*(AC45-AB45))</f>
        <v>#DIV/0!</v>
      </c>
      <c r="AE46" s="328"/>
      <c r="AF46" s="328"/>
      <c r="AG46" s="328"/>
      <c r="AH46" s="362"/>
    </row>
    <row r="47" spans="8:8" ht="15.75">
      <c r="A47" s="518"/>
      <c r="C47" s="518"/>
      <c r="D47" s="518"/>
      <c r="E47" s="518"/>
      <c r="F47" s="518"/>
      <c r="H47" s="525" t="e">
        <f>MOD(F25,100/360)</f>
        <v>#NUM!</v>
      </c>
      <c r="I47" s="526" t="e">
        <f>H47*360</f>
        <v>#NUM!</v>
      </c>
      <c r="J47" s="527" t="e">
        <f>IF(I47&lt;I48,ROUNDDOWN(I47/100,0),ROUNDUP(I47/100,0))</f>
        <v>#NUM!</v>
      </c>
      <c r="L47" s="321"/>
      <c r="M47" s="508"/>
      <c r="N47" s="535">
        <f>$B$2</f>
        <v>5.68</v>
      </c>
      <c r="O47" s="536">
        <f>O43*(N47-N44)*(N47-N45)*(N47-N46)/((N43-N44)*(N43-N45)*(N43-N46))+O44*(N47-N43)*(N47-N45)*(N47-N46)/((N44-N43)*(N44-N45)*(N44-N46))+O45*(N47-N43)*(N47-N44)*(N47-N46)/((N45-N43)*(N45-N44)*(N45-N46))+O46*(N47-N43)*(N47-N44)*(N47-N45)/((N46-N43)*(N46-N44)*(N46-N45))</f>
        <v>0.0</v>
      </c>
      <c r="P47" s="328"/>
      <c r="Q47" s="494"/>
      <c r="R47" s="328"/>
      <c r="S47" s="328"/>
      <c r="T47" s="328"/>
      <c r="U47" s="433" t="s">
        <v>398</v>
      </c>
      <c r="V47" s="537" t="e">
        <f>Y44+S46-V42</f>
        <v>#NUM!</v>
      </c>
      <c r="W47" s="328"/>
      <c r="X47" s="328"/>
      <c r="Y47" s="328"/>
      <c r="Z47" s="328"/>
      <c r="AA47" s="538">
        <v>3.0</v>
      </c>
      <c r="AB47" s="539">
        <v>2.7</v>
      </c>
      <c r="AC47" s="540">
        <v>2.4</v>
      </c>
      <c r="AD47" s="541" t="e">
        <f>AA47*(AD45-AB45)*(AD45-AC45)/((AA45-AB45)*(AA45-AC45))+AB47*(AD45-AA45)*(AD45-AC45)/((AB45-AA45)*(AB45-AC45))+AC47*(AD45-AA45)*(AD45-AB45)/((AC45-AA45)*(AC45-AB45))</f>
        <v>#DIV/0!</v>
      </c>
      <c r="AE47" s="328"/>
      <c r="AF47" s="328"/>
      <c r="AG47" s="328"/>
      <c r="AH47" s="362"/>
    </row>
    <row r="48" spans="8:8" ht="15.75">
      <c r="A48" s="514" t="s">
        <v>63</v>
      </c>
      <c r="B48" s="515">
        <v>244.47</v>
      </c>
      <c r="D48" s="516">
        <v>256.13</v>
      </c>
      <c r="E48" s="517">
        <v>257.88</v>
      </c>
      <c r="F48" s="542" t="s">
        <v>431</v>
      </c>
      <c r="H48" s="543" t="s">
        <v>371</v>
      </c>
      <c r="I48" s="543">
        <v>40.0</v>
      </c>
      <c r="J48" s="527"/>
      <c r="L48" s="321"/>
      <c r="M48" s="508" t="s">
        <v>13</v>
      </c>
      <c r="N48" s="544">
        <v>-1.0</v>
      </c>
      <c r="O48" s="510"/>
      <c r="P48" s="328"/>
      <c r="Q48" s="494"/>
      <c r="R48" s="328"/>
      <c r="S48" s="328"/>
      <c r="T48" s="328"/>
      <c r="U48" s="433" t="s">
        <v>400</v>
      </c>
      <c r="V48" s="537" t="e">
        <f>Y44+S46+V43</f>
        <v>#NUM!</v>
      </c>
      <c r="W48" s="328"/>
      <c r="X48" s="328"/>
      <c r="Y48" s="328"/>
      <c r="Z48" s="328"/>
      <c r="AA48" s="328"/>
      <c r="AB48" s="328"/>
      <c r="AC48" s="328"/>
      <c r="AD48" s="328"/>
      <c r="AE48" s="328"/>
      <c r="AF48" s="328"/>
      <c r="AG48" s="328"/>
      <c r="AH48" s="362"/>
    </row>
    <row r="49" spans="8:8" ht="15.75">
      <c r="A49" s="514"/>
      <c r="B49" s="524">
        <v>-15.5</v>
      </c>
      <c r="D49" s="524">
        <v>-15.1</v>
      </c>
      <c r="E49" s="524">
        <v>-14.9</v>
      </c>
      <c r="F49" s="542"/>
      <c r="H49" s="545" t="s">
        <v>372</v>
      </c>
      <c r="I49" s="545">
        <v>60.0</v>
      </c>
      <c r="J49" s="527"/>
      <c r="L49" s="321"/>
      <c r="M49" s="508"/>
      <c r="N49" s="546">
        <v>-10.0</v>
      </c>
      <c r="O49" s="512"/>
      <c r="P49" s="328"/>
      <c r="Q49" s="494"/>
      <c r="R49" s="328"/>
      <c r="S49" s="328"/>
      <c r="T49" s="328"/>
      <c r="U49" s="328"/>
      <c r="V49" s="328"/>
      <c r="W49" s="328"/>
      <c r="X49" s="328"/>
      <c r="Y49" s="328"/>
      <c r="Z49" s="328"/>
      <c r="AA49" s="328"/>
      <c r="AB49" s="328"/>
      <c r="AC49" s="328"/>
      <c r="AD49" s="328"/>
      <c r="AE49" s="328"/>
      <c r="AF49" s="328"/>
      <c r="AG49" s="328"/>
      <c r="AH49" s="362"/>
    </row>
    <row r="50" spans="8:8" ht="15.75">
      <c r="A50" s="518"/>
      <c r="C50" s="518"/>
      <c r="D50" s="518"/>
      <c r="E50" s="518"/>
      <c r="F50" s="518"/>
      <c r="H50" s="547" t="s">
        <v>19</v>
      </c>
      <c r="I50" s="547" t="e">
        <f>IF(I46&gt;I48,29.5,29)</f>
        <v>#NUM!</v>
      </c>
      <c r="J50" s="547" t="e">
        <f>IF(I46&gt;I49,30,I50)</f>
        <v>#NUM!</v>
      </c>
      <c r="L50" s="321"/>
      <c r="M50" s="508"/>
      <c r="N50" s="546">
        <v>-20.0</v>
      </c>
      <c r="O50" s="512"/>
      <c r="P50" s="328"/>
      <c r="Q50" s="548" t="s">
        <v>133</v>
      </c>
      <c r="R50" s="433" t="s">
        <v>401</v>
      </c>
      <c r="S50" s="433" t="s">
        <v>402</v>
      </c>
      <c r="T50" s="433"/>
      <c r="U50" s="433" t="s">
        <v>14</v>
      </c>
      <c r="V50" s="433" t="s">
        <v>403</v>
      </c>
      <c r="W50" s="433" t="s">
        <v>15</v>
      </c>
      <c r="X50" s="328"/>
      <c r="Y50" s="328"/>
      <c r="Z50" s="328"/>
      <c r="AA50" s="328"/>
      <c r="AB50" s="328"/>
      <c r="AC50" s="328"/>
      <c r="AD50" s="328"/>
      <c r="AE50" s="328"/>
      <c r="AF50" s="328"/>
      <c r="AG50" s="328"/>
      <c r="AH50" s="362"/>
    </row>
    <row r="51" spans="8:8" ht="15.75">
      <c r="A51" s="514" t="s">
        <v>64</v>
      </c>
      <c r="B51" s="515">
        <v>239.51</v>
      </c>
      <c r="D51" s="516">
        <v>240.73</v>
      </c>
      <c r="E51" s="517">
        <v>251.37</v>
      </c>
      <c r="F51" s="518"/>
      <c r="H51" s="545"/>
      <c r="I51" s="545" t="e">
        <f>IF(I47&gt;I48,29.5,29)</f>
        <v>#NUM!</v>
      </c>
      <c r="J51" s="545" t="e">
        <f>IF(I47&gt;I49,30,I51)</f>
        <v>#NUM!</v>
      </c>
      <c r="L51" s="321"/>
      <c r="M51" s="508"/>
      <c r="N51" s="549">
        <v>-30.0</v>
      </c>
      <c r="O51" s="512"/>
      <c r="P51" s="433" t="s">
        <v>0</v>
      </c>
      <c r="Q51" s="548"/>
      <c r="R51" s="537" t="e">
        <f>100*(V47-O39)*(V47-P39)/((N39-O39)*(N39-P39))+90*(V47-N39)*(V47-P39)/((O39-N39)*(O39-P39))+80*(V47-N39)*(V47-O39)/((P39-N39)*(P39-O39))</f>
        <v>#NUM!</v>
      </c>
      <c r="S51" s="537" t="e">
        <f>S41+Y43</f>
        <v>#NUM!</v>
      </c>
      <c r="T51" s="433" t="s">
        <v>7</v>
      </c>
      <c r="U51" s="433"/>
      <c r="V51" s="433"/>
      <c r="W51" s="501"/>
      <c r="X51" s="328"/>
      <c r="Y51" s="328"/>
      <c r="Z51" s="328"/>
      <c r="AA51" s="328"/>
      <c r="AB51" s="328"/>
      <c r="AC51" s="328"/>
      <c r="AD51" s="328"/>
      <c r="AE51" s="328"/>
      <c r="AF51" s="328"/>
      <c r="AG51" s="328"/>
      <c r="AH51" s="362"/>
    </row>
    <row r="52" spans="8:8" ht="15.75">
      <c r="A52" s="514"/>
      <c r="B52" s="524">
        <v>-14.8</v>
      </c>
      <c r="D52" s="524">
        <v>-14.5</v>
      </c>
      <c r="E52" s="524">
        <v>-14.8</v>
      </c>
      <c r="F52" s="518"/>
      <c r="L52" s="321"/>
      <c r="M52" s="508"/>
      <c r="N52" s="535">
        <f>$B$2</f>
        <v>5.68</v>
      </c>
      <c r="O52" s="550">
        <f>O48*(N52-N49)*(N52-N50)*(N52-N51)/((N48-N49)*(N48-N50)*(N48-N51))+O49*(N52-N48)*(N52-N50)*(N52-N51)/((N49-N48)*(N49-N50)*(N49-N51))+O50*(N52-N48)*(N52-N49)*(N52-N51)/((N50-N48)*(N50-N49)*(N50-N51))+O51*(N52-N48)*(N52-N49)*(N52-N50)/((N51-N48)*(N51-N49)*(N51-N50))</f>
        <v>0.0</v>
      </c>
      <c r="P52" s="433" t="s">
        <v>1</v>
      </c>
      <c r="Q52" s="548"/>
      <c r="R52" s="537" t="e">
        <f>100*(V48-O39)*(V48-P39)/((N39-O39)*(N39-P39))+90*(V48-N39)*(V48-P39)/((O39-N39)*(O39-P39))+80*(V48-N39)*(V48-O39)/((P39-N39)*(P39-O39))</f>
        <v>#NUM!</v>
      </c>
      <c r="S52" s="537" t="e">
        <f>S42+Y43</f>
        <v>#NUM!</v>
      </c>
      <c r="T52" s="433" t="s">
        <v>13</v>
      </c>
      <c r="U52" s="433"/>
      <c r="V52" s="433"/>
      <c r="W52" s="433"/>
      <c r="X52" s="328"/>
      <c r="Y52" s="328"/>
      <c r="Z52" s="328"/>
      <c r="AA52" s="328"/>
      <c r="AB52" s="328"/>
      <c r="AC52" s="328"/>
      <c r="AD52" s="328"/>
      <c r="AE52" s="328"/>
      <c r="AF52" s="328"/>
      <c r="AG52" s="328"/>
      <c r="AH52" s="362"/>
    </row>
    <row r="53" spans="8:8" ht="15.75">
      <c r="A53" s="518"/>
      <c r="C53" s="518"/>
      <c r="D53" s="518"/>
      <c r="E53" s="518"/>
      <c r="F53" s="518"/>
      <c r="L53" s="321"/>
      <c r="M53" s="328"/>
      <c r="N53" s="328"/>
      <c r="O53" s="328"/>
      <c r="P53" s="328"/>
      <c r="Q53" s="494"/>
      <c r="R53" s="328"/>
      <c r="S53" s="328"/>
      <c r="T53" s="328"/>
      <c r="U53" s="328">
        <v>3.5</v>
      </c>
      <c r="V53" s="328">
        <v>1.009</v>
      </c>
      <c r="W53" s="328"/>
      <c r="X53" s="328"/>
      <c r="Y53" s="328"/>
      <c r="Z53" s="328"/>
      <c r="AA53" s="328"/>
      <c r="AB53" s="328"/>
      <c r="AC53" s="328"/>
      <c r="AD53" s="328"/>
      <c r="AE53" s="328"/>
      <c r="AF53" s="328"/>
      <c r="AG53" s="328"/>
      <c r="AH53" s="362"/>
    </row>
    <row r="54" spans="8:8" ht="15.75">
      <c r="A54" s="514" t="s">
        <v>40</v>
      </c>
      <c r="B54" s="515">
        <v>252.77</v>
      </c>
      <c r="D54" s="516">
        <v>264.37</v>
      </c>
      <c r="E54" s="517">
        <v>269.97</v>
      </c>
      <c r="F54" s="518"/>
      <c r="L54" s="321"/>
      <c r="M54" s="321"/>
      <c r="N54" s="321"/>
      <c r="O54" s="321"/>
      <c r="P54" s="321"/>
      <c r="Q54" s="462"/>
      <c r="R54" s="321"/>
      <c r="S54" s="321"/>
      <c r="T54" s="321"/>
      <c r="U54" s="321"/>
      <c r="V54" s="321"/>
      <c r="W54" s="321"/>
      <c r="X54" s="321"/>
      <c r="Y54" s="321"/>
      <c r="Z54" s="321"/>
      <c r="AA54" s="321"/>
      <c r="AB54" s="321"/>
      <c r="AC54" s="321"/>
      <c r="AD54" s="321"/>
      <c r="AE54" s="321"/>
      <c r="AF54" s="321"/>
      <c r="AG54" s="321"/>
      <c r="AH54" s="321"/>
    </row>
    <row r="55" spans="8:8" ht="15.75">
      <c r="A55" s="514"/>
      <c r="B55" s="524">
        <v>-6.44</v>
      </c>
      <c r="D55" s="524">
        <v>-6.46</v>
      </c>
      <c r="E55" s="524">
        <v>-6.39</v>
      </c>
      <c r="F55" s="518"/>
      <c r="L55" s="321"/>
    </row>
    <row r="56" spans="8:8" ht="15.75">
      <c r="L56" s="321"/>
      <c r="M56" s="551" t="s">
        <v>21</v>
      </c>
      <c r="N56" s="552">
        <v>1.0</v>
      </c>
      <c r="O56" s="552">
        <v>0.9</v>
      </c>
      <c r="P56" s="552">
        <v>0.8</v>
      </c>
      <c r="Q56" s="494"/>
      <c r="R56" s="433" t="s">
        <v>287</v>
      </c>
      <c r="S56" s="328"/>
      <c r="T56" s="328"/>
      <c r="U56" s="433" t="s">
        <v>382</v>
      </c>
      <c r="V56" s="328"/>
      <c r="W56" s="328"/>
      <c r="X56" s="433" t="s">
        <v>287</v>
      </c>
      <c r="Y56" s="433" t="e">
        <f>N58*(Y62-O57)*(Y62-P57)/((N57-O57)*(N57-P57))+O58*(Y62-N57)*(Y62-P57)/((O57-N57)*(O57-P57))+P58*(Y62-N57)*(Y62-O57)/((P57-N57)*(P57-O57))</f>
        <v>#DIV/0!</v>
      </c>
      <c r="Z56" s="328"/>
      <c r="AA56" s="328"/>
      <c r="AB56" s="328"/>
      <c r="AC56" s="328"/>
      <c r="AD56" s="328"/>
      <c r="AE56" s="328"/>
      <c r="AF56" s="328"/>
      <c r="AG56" s="328"/>
      <c r="AH56" s="362"/>
    </row>
    <row r="57" spans="8:8" ht="15.0">
      <c r="L57" s="321"/>
      <c r="M57" s="553" t="s">
        <v>260</v>
      </c>
      <c r="N57" s="554">
        <f t="shared" si="10" ref="N57:P58">N39</f>
        <v>0.0</v>
      </c>
      <c r="O57" s="555">
        <f t="shared" si="10"/>
        <v>0.0</v>
      </c>
      <c r="P57" s="556">
        <f t="shared" si="10"/>
        <v>0.0</v>
      </c>
      <c r="Q57" s="494"/>
      <c r="R57" s="433" t="s">
        <v>383</v>
      </c>
      <c r="S57" s="501" t="e">
        <f>IF(Y64&lt;1,-1*Y56*B$31*$B$32,Y56*B$31*$B$32)</f>
        <v>#DIV/0!</v>
      </c>
      <c r="T57" s="328"/>
      <c r="U57" s="328"/>
      <c r="V57" s="328"/>
      <c r="W57" s="328"/>
      <c r="X57" s="433" t="s">
        <v>7</v>
      </c>
      <c r="Y57" s="501" t="e">
        <f>W69*POWER(V69,(N57-Y62))</f>
        <v>#NUM!</v>
      </c>
      <c r="Z57" s="328"/>
      <c r="AA57" s="328"/>
      <c r="AB57" s="328"/>
      <c r="AC57" s="328"/>
      <c r="AD57" s="328"/>
      <c r="AE57" s="328"/>
      <c r="AF57" s="328"/>
      <c r="AG57" s="328"/>
      <c r="AH57" s="362"/>
    </row>
    <row r="58" spans="8:8" ht="15.0">
      <c r="L58" s="321"/>
      <c r="M58" s="557" t="s">
        <v>287</v>
      </c>
      <c r="N58" s="553">
        <f t="shared" si="10"/>
        <v>0.0</v>
      </c>
      <c r="O58" s="558">
        <f t="shared" si="10"/>
        <v>0.0</v>
      </c>
      <c r="P58" s="559">
        <f t="shared" si="10"/>
        <v>0.0</v>
      </c>
      <c r="Q58" s="494"/>
      <c r="R58" s="433" t="s">
        <v>384</v>
      </c>
      <c r="S58" s="501" t="e">
        <f>IF(S64&gt;0,S57*Y59,S57*Y60)</f>
        <v>#NUM!</v>
      </c>
      <c r="T58" s="328"/>
      <c r="U58" s="433" t="s">
        <v>385</v>
      </c>
      <c r="V58" s="433" t="e">
        <f>IF(Y64&lt;1,-1*Y56*$B$31*$B$33,Y56*$B$31*$B$33)</f>
        <v>#DIV/0!</v>
      </c>
      <c r="W58" s="328"/>
      <c r="X58" s="433" t="s">
        <v>8</v>
      </c>
      <c r="Y58" s="501" t="e">
        <f>W70*POWER(V70,(N57-Y62))</f>
        <v>#NUM!</v>
      </c>
      <c r="Z58" s="328"/>
      <c r="AA58" s="328"/>
      <c r="AB58" s="328"/>
      <c r="AC58" s="328"/>
      <c r="AD58" s="328"/>
      <c r="AE58" s="328"/>
      <c r="AF58" s="328"/>
      <c r="AG58" s="328"/>
      <c r="AH58" s="362"/>
    </row>
    <row r="59" spans="8:8" ht="15.0">
      <c r="L59" s="321"/>
      <c r="M59" s="328"/>
      <c r="N59" s="328"/>
      <c r="O59" s="328"/>
      <c r="P59" s="328"/>
      <c r="Q59" s="494"/>
      <c r="R59" s="433" t="s">
        <v>386</v>
      </c>
      <c r="S59" s="501" t="e">
        <f>S58*V62</f>
        <v>#NUM!</v>
      </c>
      <c r="T59" s="328"/>
      <c r="U59" s="433"/>
      <c r="V59" s="433"/>
      <c r="W59" s="328"/>
      <c r="X59" s="433" t="s">
        <v>9</v>
      </c>
      <c r="Y59" s="501" t="e">
        <f>IF((Y62&gt;0),((100+(S64/-U69))/100))</f>
        <v>#NUM!</v>
      </c>
      <c r="Z59" s="328"/>
      <c r="AA59" s="362"/>
      <c r="AB59" s="362"/>
      <c r="AC59" s="362"/>
      <c r="AD59" s="328"/>
      <c r="AE59" s="328"/>
      <c r="AF59" s="328"/>
      <c r="AG59" s="328"/>
      <c r="AH59" s="362"/>
    </row>
    <row r="60" spans="8:8" ht="15.0">
      <c r="L60" s="321"/>
      <c r="M60" s="505"/>
      <c r="N60" s="505"/>
      <c r="O60" s="505"/>
      <c r="P60" s="328"/>
      <c r="Q60" s="494"/>
      <c r="R60" s="433" t="s">
        <v>387</v>
      </c>
      <c r="S60" s="501" t="e">
        <f>S58/V63</f>
        <v>#NUM!</v>
      </c>
      <c r="T60" s="328"/>
      <c r="U60" s="433" t="s">
        <v>388</v>
      </c>
      <c r="V60" s="433" t="e">
        <f>IF(Y64&lt;1,-Y56*$B$31*$B$33*0.95*(1-(S64*0.016)),Y56*$B$31*$B$33*0.95*(1-(S64*0.016)))</f>
        <v>#DIV/0!</v>
      </c>
      <c r="W60" s="328"/>
      <c r="X60" s="433" t="s">
        <v>10</v>
      </c>
      <c r="Y60" s="501" t="e">
        <f>IF((Y62&gt;0),((100+(S64/-U70))/100))</f>
        <v>#NUM!</v>
      </c>
      <c r="Z60" s="328"/>
      <c r="AA60" s="362"/>
      <c r="AB60" s="362"/>
      <c r="AC60" s="362"/>
      <c r="AD60" s="328"/>
      <c r="AE60" s="328"/>
      <c r="AF60" s="328"/>
      <c r="AG60" s="328"/>
      <c r="AH60" s="362"/>
    </row>
    <row r="61" spans="8:8" ht="15.0">
      <c r="L61" s="321"/>
      <c r="M61" s="508" t="s">
        <v>7</v>
      </c>
      <c r="N61" s="509">
        <v>1.0</v>
      </c>
      <c r="O61" s="510">
        <f>O43</f>
        <v>0.0</v>
      </c>
      <c r="P61" s="328"/>
      <c r="Q61" s="494"/>
      <c r="R61" s="328"/>
      <c r="S61" s="328"/>
      <c r="T61" s="328"/>
      <c r="U61" s="433" t="s">
        <v>390</v>
      </c>
      <c r="V61" s="433" t="e">
        <f>IF(Y64&lt;1,-1*Y56*$B$31*$B$33*1.27*(1-(S64*0.016)),Y56*$B$31*$B$33*1.27*(1-(S64*0.016)))</f>
        <v>#DIV/0!</v>
      </c>
      <c r="W61" s="328"/>
      <c r="X61" s="433" t="s">
        <v>256</v>
      </c>
      <c r="Y61" s="433" t="e">
        <f>Y56/4*$B$5</f>
        <v>#DIV/0!</v>
      </c>
      <c r="Z61" s="328"/>
      <c r="AA61" s="362"/>
      <c r="AB61" s="362"/>
      <c r="AC61" s="362"/>
      <c r="AD61" s="328"/>
      <c r="AE61" s="328"/>
      <c r="AF61" s="328"/>
      <c r="AG61" s="328"/>
      <c r="AH61" s="362"/>
    </row>
    <row r="62" spans="8:8" ht="15.0">
      <c r="L62" s="321"/>
      <c r="M62" s="508"/>
      <c r="N62" s="511">
        <v>5.0</v>
      </c>
      <c r="O62" s="512">
        <f>O44</f>
        <v>0.0</v>
      </c>
      <c r="P62" s="328"/>
      <c r="Q62" s="494"/>
      <c r="R62" s="433" t="s">
        <v>394</v>
      </c>
      <c r="S62" s="500"/>
      <c r="T62" s="328"/>
      <c r="U62" s="433" t="s">
        <v>395</v>
      </c>
      <c r="V62" s="433" t="e">
        <f>(100+(V60*2.75/-4))/100</f>
        <v>#DIV/0!</v>
      </c>
      <c r="W62" s="328"/>
      <c r="X62" s="433" t="s">
        <v>11</v>
      </c>
      <c r="Y62" s="433">
        <f>$AH$13</f>
        <v>278.4</v>
      </c>
      <c r="Z62" s="328"/>
      <c r="AA62" s="513" t="s">
        <v>14</v>
      </c>
      <c r="AB62" s="513"/>
      <c r="AC62" s="362"/>
      <c r="AD62" s="362"/>
      <c r="AE62" s="328"/>
      <c r="AF62" s="328"/>
      <c r="AG62" s="328"/>
      <c r="AH62" s="362"/>
    </row>
    <row r="63" spans="8:8" ht="15.0">
      <c r="L63" s="321"/>
      <c r="M63" s="508"/>
      <c r="N63" s="511">
        <v>10.0</v>
      </c>
      <c r="O63" s="512">
        <f>O45</f>
        <v>0.0</v>
      </c>
      <c r="P63" s="505"/>
      <c r="Q63" s="494"/>
      <c r="R63" s="497"/>
      <c r="S63" s="504"/>
      <c r="T63" s="328"/>
      <c r="U63" s="433" t="s">
        <v>396</v>
      </c>
      <c r="V63" s="433" t="e">
        <f>(100+(V61*4/-6.25))/100</f>
        <v>#DIV/0!</v>
      </c>
      <c r="W63" s="328"/>
      <c r="X63" s="328"/>
      <c r="Y63" s="328"/>
      <c r="Z63" s="328"/>
      <c r="AA63" s="522">
        <f>N63</f>
        <v>10.0</v>
      </c>
      <c r="AB63" s="522">
        <f>O63</f>
        <v>0.0</v>
      </c>
      <c r="AC63" s="522">
        <f>P63</f>
        <v>0.0</v>
      </c>
      <c r="AD63" s="523">
        <f>W71</f>
        <v>0.0</v>
      </c>
      <c r="AE63" s="328"/>
      <c r="AF63" s="328"/>
      <c r="AG63" s="328"/>
      <c r="AH63" s="362"/>
    </row>
    <row r="64" spans="8:8" ht="15.0">
      <c r="L64" s="321"/>
      <c r="M64" s="528"/>
      <c r="N64" s="529">
        <v>20.0</v>
      </c>
      <c r="O64" s="530">
        <f>O46</f>
        <v>0.0</v>
      </c>
      <c r="P64" s="505"/>
      <c r="Q64" s="494"/>
      <c r="R64" s="433" t="s">
        <v>397</v>
      </c>
      <c r="S64" s="504" t="e">
        <f>IF($B$2&gt;0,$B$2*Y57,$B$2*Y58)</f>
        <v>#NUM!</v>
      </c>
      <c r="T64" s="328"/>
      <c r="U64" s="328"/>
      <c r="V64" s="328"/>
      <c r="W64" s="328"/>
      <c r="X64" s="560" t="s">
        <v>414</v>
      </c>
      <c r="Y64" s="561">
        <f>$B$3*$B$18</f>
        <v>-5.0</v>
      </c>
      <c r="Z64" s="328"/>
      <c r="AA64" s="531">
        <v>3.75</v>
      </c>
      <c r="AB64" s="532">
        <v>3.75</v>
      </c>
      <c r="AC64" s="533">
        <v>3.75</v>
      </c>
      <c r="AD64" s="534" t="e">
        <f>AA64*(AD63-AB63)*(AD63-AC63)/((AA63-AB63)*(AA63-AC63))+AB64*(AD63-AA63)*(AD63-AC63)/((AB63-AA63)*(AB63-AC63))+AC64*(AD63-AA63)*(AD63-AB63)/((AC63-AA63)*(AC63-AB63))</f>
        <v>#DIV/0!</v>
      </c>
      <c r="AE64" s="328"/>
      <c r="AF64" s="328"/>
      <c r="AG64" s="328"/>
      <c r="AH64" s="362"/>
    </row>
    <row r="65" spans="8:8" ht="15.0">
      <c r="L65" s="321"/>
      <c r="M65" s="508"/>
      <c r="N65" s="535">
        <f>$B$2</f>
        <v>5.68</v>
      </c>
      <c r="O65" s="550">
        <f>O61*(N65-N62)*(N65-N63)*(N65-N64)/((N61-N62)*(N61-N63)*(N61-N64))+O62*(N65-N61)*(N65-N63)*(N65-N64)/((N62-N61)*(N62-N63)*(N62-N64))+O63*(N65-N61)*(N65-N62)*(N65-N64)/((N63-N61)*(N63-N62)*(N63-N64))+O64*(N65-N61)*(N65-N62)*(N65-N63)/((N64-N61)*(N64-N62)*(N64-N63))</f>
        <v>0.0</v>
      </c>
      <c r="P65" s="328"/>
      <c r="Q65" s="494"/>
      <c r="R65" s="328"/>
      <c r="S65" s="328"/>
      <c r="T65" s="328"/>
      <c r="U65" s="433" t="s">
        <v>398</v>
      </c>
      <c r="V65" s="537" t="e">
        <f>Y62+S64-V60</f>
        <v>#NUM!</v>
      </c>
      <c r="W65" s="328"/>
      <c r="X65" s="328"/>
      <c r="Y65" s="328"/>
      <c r="Z65" s="328"/>
      <c r="AA65" s="538">
        <v>3.0</v>
      </c>
      <c r="AB65" s="539">
        <v>2.7</v>
      </c>
      <c r="AC65" s="540">
        <v>2.4</v>
      </c>
      <c r="AD65" s="541" t="e">
        <f>AA65*(AD63-AB63)*(AD63-AC63)/((AA63-AB63)*(AA63-AC63))+AB65*(AD63-AA63)*(AD63-AC63)/((AB63-AA63)*(AB63-AC63))+AC65*(AD63-AA63)*(AD63-AB63)/((AC63-AA63)*(AC63-AB63))</f>
        <v>#DIV/0!</v>
      </c>
      <c r="AE65" s="328"/>
      <c r="AF65" s="328"/>
      <c r="AG65" s="328"/>
      <c r="AH65" s="362"/>
    </row>
    <row r="66" spans="8:8" ht="15.0">
      <c r="L66" s="321"/>
      <c r="M66" s="508" t="s">
        <v>13</v>
      </c>
      <c r="N66" s="544">
        <v>-1.0</v>
      </c>
      <c r="O66" s="510">
        <f>O48</f>
        <v>0.0</v>
      </c>
      <c r="P66" s="328"/>
      <c r="Q66" s="494"/>
      <c r="R66" s="328"/>
      <c r="S66" s="562" t="e">
        <f>IF(Y64&lt;1,-1*S69,S69)</f>
        <v>#NUM!</v>
      </c>
      <c r="T66" s="328"/>
      <c r="U66" s="433" t="s">
        <v>400</v>
      </c>
      <c r="V66" s="537" t="e">
        <f>Y62+S64+V61</f>
        <v>#NUM!</v>
      </c>
      <c r="W66" s="328"/>
      <c r="X66" s="328"/>
      <c r="Y66" s="328"/>
      <c r="Z66" s="328"/>
      <c r="AA66" s="328"/>
      <c r="AB66" s="328"/>
      <c r="AC66" s="328"/>
      <c r="AD66" s="328"/>
      <c r="AE66" s="328"/>
      <c r="AF66" s="328"/>
      <c r="AG66" s="328"/>
      <c r="AH66" s="362"/>
    </row>
    <row r="67" spans="8:8" ht="15.0">
      <c r="L67" s="321"/>
      <c r="M67" s="508"/>
      <c r="N67" s="546">
        <v>-10.0</v>
      </c>
      <c r="O67" s="512">
        <f>O49</f>
        <v>0.0</v>
      </c>
      <c r="P67" s="328"/>
      <c r="Q67" s="494"/>
      <c r="R67" s="328"/>
      <c r="S67" s="562" t="e">
        <f>IF(Y64&lt;1,-1*S70,S70)</f>
        <v>#NUM!</v>
      </c>
      <c r="T67" s="328"/>
      <c r="U67" s="328"/>
      <c r="V67" s="328"/>
      <c r="W67" s="328"/>
      <c r="X67" s="328"/>
      <c r="Y67" s="328"/>
      <c r="Z67" s="328"/>
      <c r="AA67" s="328"/>
      <c r="AB67" s="328"/>
      <c r="AC67" s="328"/>
      <c r="AD67" s="328"/>
      <c r="AE67" s="328"/>
      <c r="AF67" s="328"/>
      <c r="AG67" s="328"/>
      <c r="AH67" s="362"/>
    </row>
    <row r="68" spans="8:8" ht="15.0">
      <c r="L68" s="321"/>
      <c r="M68" s="508"/>
      <c r="N68" s="546">
        <v>-20.0</v>
      </c>
      <c r="O68" s="512">
        <f>O50</f>
        <v>0.0</v>
      </c>
      <c r="P68" s="328"/>
      <c r="Q68" s="548" t="s">
        <v>133</v>
      </c>
      <c r="R68" s="433" t="s">
        <v>401</v>
      </c>
      <c r="S68" s="433" t="s">
        <v>402</v>
      </c>
      <c r="T68" s="433"/>
      <c r="U68" s="433" t="s">
        <v>14</v>
      </c>
      <c r="V68" s="433" t="s">
        <v>403</v>
      </c>
      <c r="W68" s="433" t="s">
        <v>15</v>
      </c>
      <c r="X68" s="328"/>
      <c r="Y68" s="328"/>
      <c r="Z68" s="328"/>
      <c r="AA68" s="328"/>
      <c r="AB68" s="328"/>
      <c r="AC68" s="328"/>
      <c r="AD68" s="328"/>
      <c r="AE68" s="328"/>
      <c r="AF68" s="328"/>
      <c r="AG68" s="328"/>
      <c r="AH68" s="362"/>
    </row>
    <row r="69" spans="8:8" ht="15.0">
      <c r="L69" s="321"/>
      <c r="M69" s="508"/>
      <c r="N69" s="549">
        <v>-30.0</v>
      </c>
      <c r="O69" s="530">
        <f>O51</f>
        <v>0.0</v>
      </c>
      <c r="P69" s="433" t="s">
        <v>0</v>
      </c>
      <c r="Q69" s="548"/>
      <c r="R69" s="537" t="e">
        <f>100*(V65-O57)*(V65-P57)/((N57-O57)*(N57-P57))+90*(V65-N57)*(V65-P57)/((O57-N57)*(O57-P57))+80*(V65-N57)*(V65-O57)/((P57-N57)*(P57-O57))</f>
        <v>#NUM!</v>
      </c>
      <c r="S69" s="537" t="e">
        <f>S59+Y61</f>
        <v>#NUM!</v>
      </c>
      <c r="T69" s="433" t="s">
        <v>7</v>
      </c>
      <c r="U69" s="433">
        <f>U51</f>
        <v>0.0</v>
      </c>
      <c r="V69" s="433">
        <f>V51</f>
        <v>0.0</v>
      </c>
      <c r="W69" s="501">
        <f>O65</f>
        <v>0.0</v>
      </c>
      <c r="X69" s="328"/>
      <c r="Y69" s="328"/>
      <c r="Z69" s="328"/>
      <c r="AA69" s="328"/>
      <c r="AB69" s="328"/>
      <c r="AC69" s="328"/>
      <c r="AD69" s="328"/>
      <c r="AE69" s="328"/>
      <c r="AF69" s="328"/>
      <c r="AG69" s="328"/>
      <c r="AH69" s="362"/>
    </row>
    <row r="70" spans="8:8" ht="15.0">
      <c r="L70" s="321"/>
      <c r="M70" s="508"/>
      <c r="N70" s="535">
        <f>$B$2</f>
        <v>5.68</v>
      </c>
      <c r="O70" s="550">
        <f>O66*(N70-N67)*(N70-N68)*(N70-N69)/((N66-N67)*(N66-N68)*(N66-N69))+O67*(N70-N66)*(N70-N68)*(N70-N69)/((N67-N66)*(N67-N68)*(N67-N69))+O68*(N70-N66)*(N70-N67)*(N70-N69)/((N68-N66)*(N68-N67)*(N68-N69))+O69*(N70-N66)*(N70-N67)*(N70-N68)/((N69-N66)*(N69-N67)*(N69-N68))</f>
        <v>0.0</v>
      </c>
      <c r="P70" s="433" t="s">
        <v>1</v>
      </c>
      <c r="Q70" s="548"/>
      <c r="R70" s="537" t="e">
        <f>100*(V66-O57)*(V66-P57)/((N57-O57)*(N57-P57))+90*(V66-N57)*(V66-P57)/((O57-N57)*(O57-P57))+80*(V66-N57)*(V66-O57)/((P57-N57)*(P57-O57))</f>
        <v>#NUM!</v>
      </c>
      <c r="S70" s="537" t="e">
        <f>S60+Y61</f>
        <v>#NUM!</v>
      </c>
      <c r="T70" s="433" t="s">
        <v>13</v>
      </c>
      <c r="U70" s="433">
        <f>U52</f>
        <v>0.0</v>
      </c>
      <c r="V70" s="433">
        <f>V52</f>
        <v>0.0</v>
      </c>
      <c r="W70" s="433">
        <f>W52</f>
        <v>0.0</v>
      </c>
      <c r="X70" s="328"/>
      <c r="Y70" s="328"/>
      <c r="Z70" s="328"/>
      <c r="AA70" s="328"/>
      <c r="AB70" s="328"/>
      <c r="AC70" s="328"/>
      <c r="AD70" s="328"/>
      <c r="AE70" s="328"/>
      <c r="AF70" s="328"/>
      <c r="AG70" s="328"/>
      <c r="AH70" s="362"/>
    </row>
    <row r="71" spans="8:8">
      <c r="L71" s="321"/>
      <c r="M71" s="328"/>
      <c r="N71" s="328"/>
      <c r="O71" s="328"/>
      <c r="P71" s="328"/>
      <c r="Q71" s="494"/>
      <c r="R71" s="328"/>
      <c r="S71" s="328"/>
      <c r="T71" s="328"/>
      <c r="U71" s="328"/>
      <c r="V71" s="328"/>
      <c r="W71" s="328"/>
      <c r="X71" s="328"/>
      <c r="Y71" s="328"/>
      <c r="Z71" s="328"/>
      <c r="AA71" s="328"/>
      <c r="AB71" s="328"/>
      <c r="AC71" s="328"/>
      <c r="AD71" s="328"/>
      <c r="AE71" s="328"/>
      <c r="AF71" s="328"/>
      <c r="AG71" s="328"/>
      <c r="AH71" s="362"/>
    </row>
    <row r="72" spans="8:8">
      <c r="L72" s="321"/>
      <c r="M72" s="321"/>
      <c r="N72" s="321"/>
      <c r="O72" s="321"/>
      <c r="P72" s="321"/>
      <c r="Q72" s="462"/>
      <c r="R72" s="321"/>
      <c r="S72" s="321"/>
      <c r="T72" s="321"/>
      <c r="U72" s="321"/>
      <c r="V72" s="321"/>
      <c r="W72" s="321"/>
      <c r="X72" s="321"/>
      <c r="Y72" s="321"/>
      <c r="Z72" s="321"/>
      <c r="AA72" s="321"/>
      <c r="AB72" s="321"/>
      <c r="AC72" s="321"/>
      <c r="AD72" s="321"/>
      <c r="AE72" s="321"/>
      <c r="AF72" s="321"/>
      <c r="AG72" s="321"/>
      <c r="AH72" s="321"/>
    </row>
    <row r="73" spans="8:8" ht="15.0">
      <c r="L73" s="321"/>
      <c r="M73" s="328"/>
      <c r="N73" s="328"/>
      <c r="O73" s="328"/>
      <c r="P73" s="328"/>
      <c r="Q73" s="494"/>
      <c r="R73" s="328"/>
      <c r="S73" s="328"/>
      <c r="T73" s="328"/>
      <c r="U73" s="328"/>
      <c r="V73" s="328"/>
      <c r="W73" s="328"/>
      <c r="X73" s="328"/>
      <c r="Y73" s="328"/>
      <c r="Z73" s="328"/>
      <c r="AA73" s="362"/>
      <c r="AB73" s="362"/>
      <c r="AC73" s="362"/>
      <c r="AD73" s="362"/>
      <c r="AE73" s="362"/>
      <c r="AF73" s="328"/>
      <c r="AG73" s="328"/>
      <c r="AH73" s="362"/>
    </row>
    <row r="74" spans="8:8" ht="15.0">
      <c r="L74" s="321"/>
      <c r="M74" s="495" t="s">
        <v>22</v>
      </c>
      <c r="N74" s="496">
        <v>1.0</v>
      </c>
      <c r="O74" s="496">
        <v>0.9</v>
      </c>
      <c r="P74" s="496">
        <v>0.8</v>
      </c>
      <c r="Q74" s="494"/>
      <c r="R74" s="433" t="s">
        <v>287</v>
      </c>
      <c r="S74" s="328"/>
      <c r="T74" s="328"/>
      <c r="U74" s="433" t="s">
        <v>382</v>
      </c>
      <c r="V74" s="328"/>
      <c r="W74" s="328"/>
      <c r="X74" s="433" t="s">
        <v>287</v>
      </c>
      <c r="Y74" s="433" t="e">
        <f>N76*(Y80-O75)*(Y80-P75)/((N75-O75)*(N75-P75))+O76*(Y80-N75)*(Y80-P75)/((O75-N75)*(O75-P75))+P76*(Y80-N75)*(Y80-O75)/((P75-N75)*(P75-O75))</f>
        <v>#DIV/0!</v>
      </c>
      <c r="Z74" s="328"/>
      <c r="AA74" s="362"/>
      <c r="AB74" s="362"/>
      <c r="AC74" s="362"/>
      <c r="AD74" s="362"/>
      <c r="AE74" s="362"/>
      <c r="AF74" s="328"/>
      <c r="AG74" s="328"/>
      <c r="AH74" s="362"/>
    </row>
    <row r="75" spans="8:8" ht="15.0">
      <c r="L75" s="321"/>
      <c r="M75" s="497" t="s">
        <v>260</v>
      </c>
      <c r="N75" s="498"/>
      <c r="O75" s="499"/>
      <c r="P75" s="500"/>
      <c r="Q75" s="494"/>
      <c r="R75" s="433" t="s">
        <v>383</v>
      </c>
      <c r="S75" s="501" t="e">
        <f>Y74*$AO$2*$B$3</f>
        <v>#DIV/0!</v>
      </c>
      <c r="T75" s="328"/>
      <c r="U75" s="328"/>
      <c r="V75" s="328"/>
      <c r="W75" s="328"/>
      <c r="X75" s="433" t="s">
        <v>7</v>
      </c>
      <c r="Y75" s="501">
        <f>W87*POWER(V87,(N75-Y80))</f>
        <v>0.02877621423711781</v>
      </c>
      <c r="Z75" s="328"/>
      <c r="AA75" s="362"/>
      <c r="AB75" s="362"/>
      <c r="AC75" s="362"/>
      <c r="AD75" s="362"/>
      <c r="AE75" s="362"/>
      <c r="AF75" s="328"/>
      <c r="AG75" s="328"/>
      <c r="AH75" s="362"/>
    </row>
    <row r="76" spans="8:8" ht="15.0">
      <c r="L76" s="321"/>
      <c r="M76" s="502" t="s">
        <v>287</v>
      </c>
      <c r="N76" s="497"/>
      <c r="O76" s="503"/>
      <c r="P76" s="504"/>
      <c r="Q76" s="494"/>
      <c r="R76" s="433" t="s">
        <v>384</v>
      </c>
      <c r="S76" s="501" t="e">
        <f>IF(S82&gt;0,S75*Y77,S75*Y78)</f>
        <v>#DIV/0!</v>
      </c>
      <c r="T76" s="328"/>
      <c r="U76" s="433" t="s">
        <v>385</v>
      </c>
      <c r="V76" s="433" t="e">
        <f>Y74*$B$3*$AO$1</f>
        <v>#DIV/0!</v>
      </c>
      <c r="W76" s="328"/>
      <c r="X76" s="433" t="s">
        <v>8</v>
      </c>
      <c r="Y76" s="501">
        <f>W88*POWER(V88,(N75-Y80))</f>
        <v>0.012840332347790936</v>
      </c>
      <c r="Z76" s="328"/>
      <c r="AA76" s="362"/>
      <c r="AB76" s="362"/>
      <c r="AC76" s="362"/>
      <c r="AD76" s="362"/>
      <c r="AE76" s="362"/>
      <c r="AF76" s="328"/>
      <c r="AG76" s="328"/>
      <c r="AH76" s="362"/>
    </row>
    <row r="77" spans="8:8" ht="15.0">
      <c r="L77" s="321"/>
      <c r="M77" s="328"/>
      <c r="N77" s="328"/>
      <c r="O77" s="328"/>
      <c r="P77" s="328"/>
      <c r="Q77" s="494"/>
      <c r="R77" s="433" t="s">
        <v>386</v>
      </c>
      <c r="S77" s="501" t="e">
        <f>S76*V80</f>
        <v>#DIV/0!</v>
      </c>
      <c r="T77" s="328"/>
      <c r="U77" s="433"/>
      <c r="V77" s="433"/>
      <c r="W77" s="328"/>
      <c r="X77" s="433" t="s">
        <v>9</v>
      </c>
      <c r="Y77" s="501">
        <f>IF((Y80&gt;0),((100+(S82/-U87))/100))</f>
        <v>0.9994551703437773</v>
      </c>
      <c r="Z77" s="328"/>
      <c r="AA77" s="362"/>
      <c r="AB77" s="362"/>
      <c r="AC77" s="362"/>
      <c r="AD77" s="362"/>
      <c r="AE77" s="362"/>
      <c r="AF77" s="328"/>
      <c r="AG77" s="328"/>
      <c r="AH77" s="362"/>
    </row>
    <row r="78" spans="8:8" ht="15.0">
      <c r="L78" s="321"/>
      <c r="M78" s="505"/>
      <c r="N78" s="505"/>
      <c r="O78" s="505"/>
      <c r="P78" s="328"/>
      <c r="Q78" s="494"/>
      <c r="R78" s="433" t="s">
        <v>387</v>
      </c>
      <c r="S78" s="501" t="e">
        <f>S76/V81</f>
        <v>#DIV/0!</v>
      </c>
      <c r="T78" s="328"/>
      <c r="U78" s="433" t="s">
        <v>388</v>
      </c>
      <c r="V78" s="433" t="e">
        <f>$AO$1*$B$3*Y74*0.95*(1-(S82*0.016))</f>
        <v>#DIV/0!</v>
      </c>
      <c r="W78" s="328"/>
      <c r="X78" s="433" t="s">
        <v>10</v>
      </c>
      <c r="Y78" s="501">
        <f>IF((Y80&gt;0),((100+(S82/-U88))/100))</f>
        <v>0.999371350396666</v>
      </c>
      <c r="Z78" s="328"/>
      <c r="AA78" s="362"/>
      <c r="AB78" s="362"/>
      <c r="AC78" s="362"/>
      <c r="AD78" s="362"/>
      <c r="AE78" s="362"/>
      <c r="AF78" s="328"/>
      <c r="AG78" s="328"/>
      <c r="AH78" s="362"/>
    </row>
    <row r="79" spans="8:8" ht="15.0">
      <c r="L79" s="321"/>
      <c r="M79" s="505"/>
      <c r="N79" s="505"/>
      <c r="O79" s="505"/>
      <c r="P79" s="328"/>
      <c r="Q79" s="494"/>
      <c r="R79" s="328"/>
      <c r="S79" s="328"/>
      <c r="T79" s="328"/>
      <c r="U79" s="433" t="s">
        <v>390</v>
      </c>
      <c r="V79" s="433" t="e">
        <f>$AO$1*$B$3*Y74*1.28*(1-(S82*0.016))</f>
        <v>#DIV/0!</v>
      </c>
      <c r="W79" s="328"/>
      <c r="X79" s="433" t="s">
        <v>256</v>
      </c>
      <c r="Y79" s="433" t="e">
        <f>Y74/4*$B$5</f>
        <v>#DIV/0!</v>
      </c>
      <c r="Z79" s="328"/>
      <c r="AA79" s="362"/>
      <c r="AB79" s="362"/>
      <c r="AC79" s="362"/>
      <c r="AD79" s="362"/>
      <c r="AE79" s="362"/>
      <c r="AF79" s="328"/>
      <c r="AG79" s="328"/>
      <c r="AH79" s="362"/>
    </row>
    <row r="80" spans="8:8" ht="15.0">
      <c r="L80" s="321"/>
      <c r="M80" s="505"/>
      <c r="N80" s="505"/>
      <c r="O80" s="505"/>
      <c r="P80" s="328"/>
      <c r="Q80" s="494"/>
      <c r="R80" s="433" t="s">
        <v>394</v>
      </c>
      <c r="S80" s="500"/>
      <c r="T80" s="328"/>
      <c r="U80" s="433" t="s">
        <v>395</v>
      </c>
      <c r="V80" s="433" t="e">
        <f>(100+(V78*2.75/-4))/100</f>
        <v>#DIV/0!</v>
      </c>
      <c r="W80" s="328"/>
      <c r="X80" s="433" t="s">
        <v>11</v>
      </c>
      <c r="Y80" s="433">
        <f>$AH$13</f>
        <v>278.4</v>
      </c>
      <c r="Z80" s="328"/>
      <c r="AA80" s="362"/>
      <c r="AB80" s="362"/>
      <c r="AC80" s="362"/>
      <c r="AD80" s="362"/>
      <c r="AE80" s="362"/>
      <c r="AF80" s="328"/>
      <c r="AG80" s="328"/>
      <c r="AH80" s="362"/>
    </row>
    <row r="81" spans="8:8" ht="15.0">
      <c r="L81" s="321"/>
      <c r="M81" s="505"/>
      <c r="N81" s="505"/>
      <c r="O81" s="505"/>
      <c r="P81" s="328"/>
      <c r="Q81" s="494"/>
      <c r="R81" s="497"/>
      <c r="S81" s="504"/>
      <c r="T81" s="328"/>
      <c r="U81" s="433" t="s">
        <v>396</v>
      </c>
      <c r="V81" s="433" t="e">
        <f>(100+(V79*4/-6.25))/100</f>
        <v>#DIV/0!</v>
      </c>
      <c r="W81" s="328"/>
      <c r="X81" s="328"/>
      <c r="Y81" s="328"/>
      <c r="Z81" s="328"/>
      <c r="AA81" s="362"/>
      <c r="AB81" s="362"/>
      <c r="AC81" s="362"/>
      <c r="AD81" s="362"/>
      <c r="AE81" s="362"/>
      <c r="AF81" s="328"/>
      <c r="AG81" s="328"/>
      <c r="AH81" s="362"/>
    </row>
    <row r="82" spans="8:8" ht="15.0">
      <c r="L82" s="321"/>
      <c r="M82" s="505"/>
      <c r="N82" s="505"/>
      <c r="O82" s="505"/>
      <c r="P82" s="505"/>
      <c r="Q82" s="494"/>
      <c r="R82" s="433" t="s">
        <v>397</v>
      </c>
      <c r="S82" s="504">
        <f>IF($B$2&gt;0,$B$2*Y75,$B$2*Y76)</f>
        <v>0.16344889686682915</v>
      </c>
      <c r="T82" s="328"/>
      <c r="U82" s="328"/>
      <c r="V82" s="328"/>
      <c r="W82" s="328"/>
      <c r="X82" s="328"/>
      <c r="Y82" s="328"/>
      <c r="Z82" s="328"/>
      <c r="AA82" s="362"/>
      <c r="AB82" s="362"/>
      <c r="AC82" s="362"/>
      <c r="AD82" s="362"/>
      <c r="AE82" s="362"/>
      <c r="AF82" s="328"/>
      <c r="AG82" s="328"/>
      <c r="AH82" s="362"/>
    </row>
    <row r="83" spans="8:8" ht="15.0">
      <c r="L83" s="321"/>
      <c r="M83" s="563"/>
      <c r="N83" s="505"/>
      <c r="O83" s="505"/>
      <c r="P83" s="505"/>
      <c r="Q83" s="494"/>
      <c r="R83" s="328"/>
      <c r="S83" s="328"/>
      <c r="T83" s="328"/>
      <c r="U83" s="433" t="s">
        <v>398</v>
      </c>
      <c r="V83" s="537" t="e">
        <f>Y80+S82-V78</f>
        <v>#DIV/0!</v>
      </c>
      <c r="W83" s="328"/>
      <c r="X83" s="328"/>
      <c r="Y83" s="328"/>
      <c r="Z83" s="328"/>
      <c r="AA83" s="362"/>
      <c r="AB83" s="362"/>
      <c r="AC83" s="362"/>
      <c r="AD83" s="362"/>
      <c r="AE83" s="362"/>
      <c r="AF83" s="328"/>
      <c r="AG83" s="328"/>
      <c r="AH83" s="362"/>
    </row>
    <row r="84" spans="8:8" ht="15.0">
      <c r="L84" s="321"/>
      <c r="M84" s="505"/>
      <c r="N84" s="505"/>
      <c r="O84" s="505"/>
      <c r="P84" s="328"/>
      <c r="Q84" s="494"/>
      <c r="R84" s="328"/>
      <c r="S84" s="328"/>
      <c r="T84" s="328"/>
      <c r="U84" s="433" t="s">
        <v>400</v>
      </c>
      <c r="V84" s="537" t="e">
        <f>Y80+S82+V79</f>
        <v>#DIV/0!</v>
      </c>
      <c r="W84" s="328"/>
      <c r="X84" s="328"/>
      <c r="Y84" s="328"/>
      <c r="Z84" s="328"/>
      <c r="AA84" s="362"/>
      <c r="AB84" s="362"/>
      <c r="AC84" s="362"/>
      <c r="AD84" s="362"/>
      <c r="AE84" s="362"/>
      <c r="AF84" s="328"/>
      <c r="AG84" s="328"/>
      <c r="AH84" s="362"/>
    </row>
    <row r="85" spans="8:8" ht="15.0">
      <c r="L85" s="321"/>
      <c r="M85" s="505"/>
      <c r="N85" s="505"/>
      <c r="O85" s="564"/>
      <c r="P85" s="328"/>
      <c r="Q85" s="494"/>
      <c r="R85" s="328"/>
      <c r="S85" s="328"/>
      <c r="T85" s="328"/>
      <c r="U85" s="328"/>
      <c r="V85" s="328"/>
      <c r="W85" s="328"/>
      <c r="X85" s="328"/>
      <c r="Y85" s="328"/>
      <c r="Z85" s="328"/>
      <c r="AA85" s="362"/>
      <c r="AB85" s="362"/>
      <c r="AC85" s="362"/>
      <c r="AD85" s="362"/>
      <c r="AE85" s="362"/>
      <c r="AF85" s="328"/>
      <c r="AG85" s="328"/>
      <c r="AH85" s="362"/>
    </row>
    <row r="86" spans="8:8" ht="15.0">
      <c r="L86" s="321"/>
      <c r="M86" s="505"/>
      <c r="N86" s="505"/>
      <c r="O86" s="565"/>
      <c r="P86" s="328"/>
      <c r="Q86" s="548" t="s">
        <v>133</v>
      </c>
      <c r="R86" s="433" t="s">
        <v>401</v>
      </c>
      <c r="S86" s="433" t="s">
        <v>402</v>
      </c>
      <c r="T86" s="433"/>
      <c r="U86" s="433" t="s">
        <v>14</v>
      </c>
      <c r="V86" s="433" t="s">
        <v>403</v>
      </c>
      <c r="W86" s="433" t="s">
        <v>15</v>
      </c>
      <c r="X86" s="328"/>
      <c r="Y86" s="328"/>
      <c r="Z86" s="328"/>
      <c r="AA86" s="362"/>
      <c r="AB86" s="362"/>
      <c r="AC86" s="362"/>
      <c r="AD86" s="362"/>
      <c r="AE86" s="362"/>
      <c r="AF86" s="328"/>
      <c r="AG86" s="328"/>
      <c r="AH86" s="362"/>
    </row>
    <row r="87" spans="8:8" ht="15.0">
      <c r="L87" s="321"/>
      <c r="M87" s="505"/>
      <c r="N87" s="505"/>
      <c r="O87" s="565"/>
      <c r="P87" s="433" t="s">
        <v>0</v>
      </c>
      <c r="Q87" s="548"/>
      <c r="R87" s="537" t="e">
        <f>IF(V83&lt;=O75,80+(V83-P75)/((O75-P75)/10),90+(V83-O75)/((N75-O75)/10))</f>
        <v>#DIV/0!</v>
      </c>
      <c r="S87" s="537" t="e">
        <f>S77+Y79</f>
        <v>#DIV/0!</v>
      </c>
      <c r="T87" s="433" t="s">
        <v>7</v>
      </c>
      <c r="U87" s="433">
        <v>3.0</v>
      </c>
      <c r="V87" s="433">
        <v>1.011</v>
      </c>
      <c r="W87" s="501">
        <v>0.605</v>
      </c>
      <c r="X87" s="328"/>
      <c r="Y87" s="328"/>
      <c r="Z87" s="328"/>
      <c r="AA87" s="362"/>
      <c r="AB87" s="362"/>
      <c r="AC87" s="362"/>
      <c r="AD87" s="362"/>
      <c r="AE87" s="362"/>
      <c r="AF87" s="328"/>
      <c r="AG87" s="328"/>
      <c r="AH87" s="362"/>
    </row>
    <row r="88" spans="8:8" ht="15.0">
      <c r="L88" s="321"/>
      <c r="M88" s="505"/>
      <c r="N88" s="505"/>
      <c r="O88" s="566"/>
      <c r="P88" s="433" t="s">
        <v>1</v>
      </c>
      <c r="Q88" s="548"/>
      <c r="R88" s="537" t="e">
        <f>IF(V84&lt;=O75,80+(V84-P75)/((O75-P75)/10),90+(V84-O75)/((N75-O75)/10))</f>
        <v>#DIV/0!</v>
      </c>
      <c r="S88" s="537" t="e">
        <f>S78+Y79</f>
        <v>#DIV/0!</v>
      </c>
      <c r="T88" s="433" t="s">
        <v>13</v>
      </c>
      <c r="U88" s="433">
        <v>2.6</v>
      </c>
      <c r="V88" s="433">
        <v>1.013</v>
      </c>
      <c r="W88" s="501">
        <v>0.468</v>
      </c>
      <c r="X88" s="328"/>
      <c r="Y88" s="328"/>
      <c r="Z88" s="328"/>
      <c r="AA88" s="362"/>
      <c r="AB88" s="362"/>
      <c r="AC88" s="362"/>
      <c r="AD88" s="362"/>
      <c r="AE88" s="362"/>
      <c r="AF88" s="328"/>
      <c r="AG88" s="328"/>
      <c r="AH88" s="362"/>
    </row>
    <row r="89" spans="8:8">
      <c r="L89" s="321"/>
      <c r="M89" s="328"/>
      <c r="N89" s="328"/>
      <c r="O89" s="328"/>
      <c r="P89" s="328"/>
      <c r="Q89" s="494"/>
      <c r="R89" s="328"/>
      <c r="S89" s="328"/>
      <c r="T89" s="328"/>
      <c r="U89" s="328"/>
      <c r="V89" s="328"/>
      <c r="W89" s="328"/>
      <c r="X89" s="328"/>
      <c r="Y89" s="328"/>
      <c r="Z89" s="328"/>
      <c r="AA89" s="362"/>
      <c r="AB89" s="362"/>
      <c r="AC89" s="362"/>
      <c r="AD89" s="362"/>
      <c r="AE89" s="362"/>
      <c r="AF89" s="328"/>
      <c r="AG89" s="328"/>
      <c r="AH89" s="362"/>
    </row>
    <row r="90" spans="8:8">
      <c r="L90" s="321"/>
      <c r="M90" s="321"/>
      <c r="N90" s="321"/>
      <c r="O90" s="321"/>
      <c r="P90" s="321"/>
      <c r="Q90" s="462"/>
      <c r="R90" s="321"/>
      <c r="S90" s="321"/>
      <c r="T90" s="321"/>
      <c r="U90" s="321"/>
      <c r="V90" s="321"/>
      <c r="W90" s="321"/>
      <c r="X90" s="321"/>
      <c r="Y90" s="321"/>
      <c r="Z90" s="321"/>
      <c r="AA90" s="321"/>
      <c r="AB90" s="321"/>
      <c r="AC90" s="321"/>
      <c r="AD90" s="321"/>
      <c r="AE90" s="321"/>
      <c r="AF90" s="321"/>
      <c r="AG90" s="321"/>
      <c r="AH90" s="321"/>
    </row>
    <row r="91" spans="8:8" ht="15.0">
      <c r="L91" s="321"/>
      <c r="M91" s="328"/>
      <c r="N91" s="328"/>
      <c r="O91" s="328"/>
      <c r="P91" s="328"/>
      <c r="Q91" s="494"/>
      <c r="R91" s="328"/>
      <c r="S91" s="328"/>
      <c r="T91" s="328"/>
      <c r="U91" s="328"/>
      <c r="V91" s="328"/>
      <c r="W91" s="328"/>
      <c r="X91" s="328"/>
      <c r="Y91" s="328"/>
      <c r="Z91" s="328"/>
      <c r="AA91" s="362"/>
      <c r="AB91" s="362"/>
      <c r="AC91" s="362"/>
      <c r="AD91" s="362"/>
      <c r="AE91" s="362"/>
      <c r="AF91" s="328"/>
      <c r="AG91" s="328"/>
      <c r="AH91" s="362"/>
    </row>
    <row r="92" spans="8:8" ht="15.0">
      <c r="L92" s="321"/>
      <c r="M92" s="551" t="s">
        <v>22</v>
      </c>
      <c r="N92" s="552">
        <v>1.0</v>
      </c>
      <c r="O92" s="552">
        <v>0.9</v>
      </c>
      <c r="P92" s="552">
        <v>0.8</v>
      </c>
      <c r="Q92" s="494"/>
      <c r="R92" s="433" t="s">
        <v>287</v>
      </c>
      <c r="S92" s="328"/>
      <c r="T92" s="328"/>
      <c r="U92" s="433" t="s">
        <v>382</v>
      </c>
      <c r="V92" s="328"/>
      <c r="W92" s="328"/>
      <c r="X92" s="433" t="s">
        <v>287</v>
      </c>
      <c r="Y92" s="433" t="e">
        <f>N94*(Y98-O93)*(Y98-P93)/((N93-O93)*(N93-P93))+O94*(Y98-N93)*(Y98-P93)/((O93-N93)*(O93-P93))+P94*(Y98-N93)*(Y98-O93)/((P93-N93)*(P93-O93))</f>
        <v>#DIV/0!</v>
      </c>
      <c r="Z92" s="328"/>
      <c r="AA92" s="362"/>
      <c r="AB92" s="362"/>
      <c r="AC92" s="362"/>
      <c r="AD92" s="362"/>
      <c r="AE92" s="362"/>
      <c r="AF92" s="328"/>
      <c r="AG92" s="328"/>
      <c r="AH92" s="362"/>
    </row>
    <row r="93" spans="8:8" ht="15.0">
      <c r="L93" s="321"/>
      <c r="M93" s="553" t="s">
        <v>260</v>
      </c>
      <c r="N93" s="554">
        <f t="shared" si="11" ref="N93:P94">N75</f>
        <v>0.0</v>
      </c>
      <c r="O93" s="555">
        <f t="shared" si="11"/>
        <v>0.0</v>
      </c>
      <c r="P93" s="556">
        <f t="shared" si="11"/>
        <v>0.0</v>
      </c>
      <c r="Q93" s="494"/>
      <c r="R93" s="433" t="s">
        <v>383</v>
      </c>
      <c r="S93" s="501" t="e">
        <f>IF(Y100&lt;1,-1*Y92*B$31*$B$32,Y92*B$31*$B$32)</f>
        <v>#DIV/0!</v>
      </c>
      <c r="T93" s="328"/>
      <c r="U93" s="328"/>
      <c r="V93" s="328"/>
      <c r="W93" s="328"/>
      <c r="X93" s="433" t="s">
        <v>7</v>
      </c>
      <c r="Y93" s="501">
        <f>W105*POWER(V105,(N93-Y98))</f>
        <v>0.02877621423711781</v>
      </c>
      <c r="Z93" s="328"/>
      <c r="AA93" s="362"/>
      <c r="AB93" s="362"/>
      <c r="AC93" s="362"/>
      <c r="AD93" s="362"/>
      <c r="AE93" s="362"/>
      <c r="AF93" s="328"/>
      <c r="AG93" s="328"/>
      <c r="AH93" s="362"/>
    </row>
    <row r="94" spans="8:8" ht="15.0">
      <c r="L94" s="321"/>
      <c r="M94" s="557" t="s">
        <v>287</v>
      </c>
      <c r="N94" s="553">
        <f t="shared" si="11"/>
        <v>0.0</v>
      </c>
      <c r="O94" s="558">
        <f t="shared" si="11"/>
        <v>0.0</v>
      </c>
      <c r="P94" s="559">
        <f t="shared" si="11"/>
        <v>0.0</v>
      </c>
      <c r="Q94" s="494"/>
      <c r="R94" s="433" t="s">
        <v>384</v>
      </c>
      <c r="S94" s="501" t="e">
        <f>IF(S100&gt;0,S93*Y95,S93*Y96)</f>
        <v>#DIV/0!</v>
      </c>
      <c r="T94" s="328"/>
      <c r="U94" s="433" t="s">
        <v>385</v>
      </c>
      <c r="V94" s="433" t="e">
        <f>IF(Y100&lt;1,-1*Y92*$B$31*$B$33,Y92*$B$31*$B$33)</f>
        <v>#DIV/0!</v>
      </c>
      <c r="W94" s="328"/>
      <c r="X94" s="433" t="s">
        <v>8</v>
      </c>
      <c r="Y94" s="501">
        <f>W106*POWER(V106,(N93-Y98))</f>
        <v>0.012840332347790936</v>
      </c>
      <c r="Z94" s="328"/>
      <c r="AA94" s="362"/>
      <c r="AB94" s="362"/>
      <c r="AC94" s="362"/>
      <c r="AD94" s="362"/>
      <c r="AE94" s="362"/>
      <c r="AF94" s="328"/>
      <c r="AG94" s="328"/>
      <c r="AH94" s="362"/>
    </row>
    <row r="95" spans="8:8" ht="15.0">
      <c r="L95" s="321"/>
      <c r="M95" s="328"/>
      <c r="N95" s="328"/>
      <c r="O95" s="328"/>
      <c r="P95" s="328"/>
      <c r="Q95" s="494"/>
      <c r="R95" s="433" t="s">
        <v>386</v>
      </c>
      <c r="S95" s="501" t="e">
        <f>S94*V98</f>
        <v>#DIV/0!</v>
      </c>
      <c r="T95" s="328"/>
      <c r="U95" s="433"/>
      <c r="V95" s="433"/>
      <c r="W95" s="328"/>
      <c r="X95" s="433" t="s">
        <v>9</v>
      </c>
      <c r="Y95" s="501">
        <f>IF((Y98&gt;0),((100+(S100/-U105))/100))</f>
        <v>0.9994551703437773</v>
      </c>
      <c r="Z95" s="328"/>
      <c r="AA95" s="362"/>
      <c r="AB95" s="362"/>
      <c r="AC95" s="362"/>
      <c r="AD95" s="362"/>
      <c r="AE95" s="362"/>
      <c r="AF95" s="328"/>
      <c r="AG95" s="328"/>
      <c r="AH95" s="362"/>
    </row>
    <row r="96" spans="8:8" ht="15.0">
      <c r="L96" s="321"/>
      <c r="M96" s="505"/>
      <c r="N96" s="505"/>
      <c r="O96" s="505"/>
      <c r="P96" s="328"/>
      <c r="Q96" s="494"/>
      <c r="R96" s="433" t="s">
        <v>387</v>
      </c>
      <c r="S96" s="501" t="e">
        <f>S94/V99</f>
        <v>#DIV/0!</v>
      </c>
      <c r="T96" s="328"/>
      <c r="U96" s="433" t="s">
        <v>388</v>
      </c>
      <c r="V96" s="433" t="e">
        <f>IF(Y100&lt;1,-Y92*$B$31*$B$33*0.95*(1-(S100*0.016)),Y92*$B$31*$B$33*0.95*(1-(S100*0.016)))</f>
        <v>#DIV/0!</v>
      </c>
      <c r="W96" s="328"/>
      <c r="X96" s="433" t="s">
        <v>10</v>
      </c>
      <c r="Y96" s="501">
        <f>IF((Y98&gt;0),((100+(S100/-U106))/100))</f>
        <v>0.999371350396666</v>
      </c>
      <c r="Z96" s="328"/>
      <c r="AA96" s="362"/>
      <c r="AB96" s="362"/>
      <c r="AC96" s="362"/>
      <c r="AD96" s="362"/>
      <c r="AE96" s="362"/>
      <c r="AF96" s="328"/>
      <c r="AG96" s="328"/>
      <c r="AH96" s="362"/>
    </row>
    <row r="97" spans="8:8" ht="15.0">
      <c r="L97" s="321"/>
      <c r="M97" s="505"/>
      <c r="N97" s="505"/>
      <c r="O97" s="505"/>
      <c r="P97" s="328"/>
      <c r="Q97" s="494"/>
      <c r="R97" s="328"/>
      <c r="S97" s="328"/>
      <c r="T97" s="328"/>
      <c r="U97" s="433" t="s">
        <v>390</v>
      </c>
      <c r="V97" s="433" t="e">
        <f>IF(Y100&lt;1,-1*Y92*$B$31*$B$33*1.28*(1-(S100*0.016)),Y92*$B$31*$B$33*1.28*(1-(S100*0.016)))</f>
        <v>#DIV/0!</v>
      </c>
      <c r="W97" s="328"/>
      <c r="X97" s="433" t="s">
        <v>256</v>
      </c>
      <c r="Y97" s="433" t="e">
        <f>Y92/4*$B$5</f>
        <v>#DIV/0!</v>
      </c>
      <c r="Z97" s="328"/>
      <c r="AA97" s="362"/>
      <c r="AB97" s="362"/>
      <c r="AC97" s="362"/>
      <c r="AD97" s="362"/>
      <c r="AE97" s="362"/>
      <c r="AF97" s="328"/>
      <c r="AG97" s="328"/>
      <c r="AH97" s="362"/>
    </row>
    <row r="98" spans="8:8" ht="15.0">
      <c r="L98" s="321"/>
      <c r="M98" s="505"/>
      <c r="N98" s="505"/>
      <c r="O98" s="505"/>
      <c r="P98" s="328"/>
      <c r="Q98" s="494"/>
      <c r="R98" s="433" t="s">
        <v>394</v>
      </c>
      <c r="S98" s="500"/>
      <c r="T98" s="328"/>
      <c r="U98" s="433" t="s">
        <v>395</v>
      </c>
      <c r="V98" s="433" t="e">
        <f>(100+(V96*2.75/-4))/100</f>
        <v>#DIV/0!</v>
      </c>
      <c r="W98" s="328"/>
      <c r="X98" s="433" t="s">
        <v>11</v>
      </c>
      <c r="Y98" s="433">
        <f>$AH$13</f>
        <v>278.4</v>
      </c>
      <c r="Z98" s="328"/>
      <c r="AA98" s="362"/>
      <c r="AB98" s="362"/>
      <c r="AC98" s="362"/>
      <c r="AD98" s="362"/>
      <c r="AE98" s="362"/>
      <c r="AF98" s="328"/>
      <c r="AG98" s="328"/>
      <c r="AH98" s="362"/>
    </row>
    <row r="99" spans="8:8" ht="15.0">
      <c r="L99" s="321"/>
      <c r="M99" s="505"/>
      <c r="N99" s="505"/>
      <c r="O99" s="505"/>
      <c r="P99" s="328"/>
      <c r="Q99" s="494"/>
      <c r="R99" s="497"/>
      <c r="S99" s="504"/>
      <c r="T99" s="328"/>
      <c r="U99" s="433" t="s">
        <v>396</v>
      </c>
      <c r="V99" s="433" t="e">
        <f>(100+(V97*4/-6.25))/100</f>
        <v>#DIV/0!</v>
      </c>
      <c r="W99" s="328"/>
      <c r="X99" s="328"/>
      <c r="Y99" s="328"/>
      <c r="Z99" s="328"/>
      <c r="AA99" s="362"/>
      <c r="AB99" s="362"/>
      <c r="AC99" s="362"/>
      <c r="AD99" s="362"/>
      <c r="AE99" s="362"/>
      <c r="AF99" s="328"/>
      <c r="AG99" s="328"/>
      <c r="AH99" s="362"/>
    </row>
    <row r="100" spans="8:8" ht="15.0">
      <c r="L100" s="321"/>
      <c r="M100" s="505"/>
      <c r="N100" s="505"/>
      <c r="O100" s="505"/>
      <c r="P100" s="505"/>
      <c r="Q100" s="494"/>
      <c r="R100" s="433" t="s">
        <v>397</v>
      </c>
      <c r="S100" s="504">
        <f>IF($B$2&gt;0,$B$2*Y93,$B$2*Y94)</f>
        <v>0.16344889686682915</v>
      </c>
      <c r="T100" s="328"/>
      <c r="U100" s="328"/>
      <c r="V100" s="328"/>
      <c r="W100" s="328"/>
      <c r="X100" s="560" t="s">
        <v>414</v>
      </c>
      <c r="Y100" s="561">
        <f>$B$3*$B$18</f>
        <v>-5.0</v>
      </c>
      <c r="Z100" s="328"/>
      <c r="AA100" s="362"/>
      <c r="AB100" s="362"/>
      <c r="AC100" s="362"/>
      <c r="AD100" s="362"/>
      <c r="AE100" s="362"/>
      <c r="AF100" s="328"/>
      <c r="AG100" s="328"/>
      <c r="AH100" s="362"/>
    </row>
    <row r="101" spans="8:8" ht="15.0">
      <c r="L101" s="321"/>
      <c r="M101" s="563"/>
      <c r="N101" s="505"/>
      <c r="O101" s="505"/>
      <c r="P101" s="505"/>
      <c r="Q101" s="494"/>
      <c r="R101" s="328"/>
      <c r="S101" s="328"/>
      <c r="T101" s="328"/>
      <c r="U101" s="433" t="s">
        <v>398</v>
      </c>
      <c r="V101" s="537" t="e">
        <f>Y98+S100-V96</f>
        <v>#DIV/0!</v>
      </c>
      <c r="W101" s="328"/>
      <c r="X101" s="328"/>
      <c r="Y101" s="328"/>
      <c r="Z101" s="328"/>
      <c r="AA101" s="362"/>
      <c r="AB101" s="362"/>
      <c r="AC101" s="362"/>
      <c r="AD101" s="362"/>
      <c r="AE101" s="362"/>
      <c r="AF101" s="328"/>
      <c r="AG101" s="328"/>
      <c r="AH101" s="362"/>
    </row>
    <row r="102" spans="8:8" ht="15.0">
      <c r="L102" s="321"/>
      <c r="M102" s="505"/>
      <c r="N102" s="505"/>
      <c r="O102" s="505"/>
      <c r="P102" s="328"/>
      <c r="Q102" s="494"/>
      <c r="R102" s="328"/>
      <c r="S102" s="562" t="e">
        <f>IF(Y100&lt;1,-1*S105,S105)</f>
        <v>#DIV/0!</v>
      </c>
      <c r="T102" s="328"/>
      <c r="U102" s="433" t="s">
        <v>400</v>
      </c>
      <c r="V102" s="537" t="e">
        <f>Y98+S100+V97</f>
        <v>#DIV/0!</v>
      </c>
      <c r="W102" s="328"/>
      <c r="X102" s="328"/>
      <c r="Y102" s="328"/>
      <c r="Z102" s="328"/>
      <c r="AA102" s="362"/>
      <c r="AB102" s="362"/>
      <c r="AC102" s="362"/>
      <c r="AD102" s="362"/>
      <c r="AE102" s="362"/>
      <c r="AF102" s="328"/>
      <c r="AG102" s="328"/>
      <c r="AH102" s="362"/>
    </row>
    <row r="103" spans="8:8" ht="15.0">
      <c r="L103" s="321"/>
      <c r="M103" s="505"/>
      <c r="N103" s="505"/>
      <c r="O103" s="564"/>
      <c r="P103" s="328"/>
      <c r="Q103" s="494"/>
      <c r="R103" s="328"/>
      <c r="S103" s="562" t="e">
        <f>IF(Y100&lt;1,-1*S106,S106)</f>
        <v>#DIV/0!</v>
      </c>
      <c r="T103" s="328"/>
      <c r="U103" s="328"/>
      <c r="V103" s="328"/>
      <c r="W103" s="328"/>
      <c r="X103" s="328"/>
      <c r="Y103" s="328"/>
      <c r="Z103" s="328"/>
      <c r="AA103" s="362"/>
      <c r="AB103" s="362"/>
      <c r="AC103" s="362"/>
      <c r="AD103" s="362"/>
      <c r="AE103" s="362"/>
      <c r="AF103" s="328"/>
      <c r="AG103" s="328"/>
      <c r="AH103" s="362"/>
    </row>
    <row r="104" spans="8:8" ht="15.0">
      <c r="L104" s="321"/>
      <c r="M104" s="505"/>
      <c r="N104" s="505"/>
      <c r="O104" s="565"/>
      <c r="P104" s="328"/>
      <c r="Q104" s="548" t="s">
        <v>133</v>
      </c>
      <c r="R104" s="433" t="s">
        <v>401</v>
      </c>
      <c r="S104" s="433" t="s">
        <v>402</v>
      </c>
      <c r="T104" s="433"/>
      <c r="U104" s="433" t="s">
        <v>14</v>
      </c>
      <c r="V104" s="433" t="s">
        <v>403</v>
      </c>
      <c r="W104" s="433" t="s">
        <v>15</v>
      </c>
      <c r="X104" s="328"/>
      <c r="Y104" s="328"/>
      <c r="Z104" s="328"/>
      <c r="AA104" s="362"/>
      <c r="AB104" s="362"/>
      <c r="AC104" s="362"/>
      <c r="AD104" s="362"/>
      <c r="AE104" s="362"/>
      <c r="AF104" s="328"/>
      <c r="AG104" s="328"/>
      <c r="AH104" s="362"/>
    </row>
    <row r="105" spans="8:8" ht="15.0">
      <c r="L105" s="321"/>
      <c r="M105" s="505"/>
      <c r="N105" s="505"/>
      <c r="O105" s="565"/>
      <c r="P105" s="433" t="s">
        <v>0</v>
      </c>
      <c r="Q105" s="548"/>
      <c r="R105" s="537" t="e">
        <f>IF(V101&lt;=O93,80+(V101-P93)/((O93-P93)/10),90+(V101-O93)/((N93-O93)/10))</f>
        <v>#DIV/0!</v>
      </c>
      <c r="S105" s="537" t="e">
        <f>S95+Y97</f>
        <v>#DIV/0!</v>
      </c>
      <c r="T105" s="433" t="s">
        <v>7</v>
      </c>
      <c r="U105" s="433">
        <f t="shared" si="12" ref="U105:W106">U87</f>
        <v>3.0</v>
      </c>
      <c r="V105" s="433">
        <f t="shared" si="12"/>
        <v>1.011</v>
      </c>
      <c r="W105" s="433">
        <f t="shared" si="12"/>
        <v>0.605</v>
      </c>
      <c r="X105" s="328"/>
      <c r="Y105" s="328"/>
      <c r="Z105" s="328"/>
      <c r="AA105" s="362"/>
      <c r="AB105" s="362"/>
      <c r="AC105" s="362"/>
      <c r="AD105" s="362"/>
      <c r="AE105" s="362"/>
      <c r="AF105" s="328"/>
      <c r="AG105" s="328"/>
      <c r="AH105" s="362"/>
    </row>
    <row r="106" spans="8:8" ht="15.0">
      <c r="L106" s="321"/>
      <c r="M106" s="505"/>
      <c r="N106" s="505"/>
      <c r="O106" s="566"/>
      <c r="P106" s="433" t="s">
        <v>1</v>
      </c>
      <c r="Q106" s="548"/>
      <c r="R106" s="537" t="e">
        <f>IF(V102&lt;=O93,80+(V102-P93)/((O93-P93)/10),90+(V102-O93)/((N93-O93)/10))</f>
        <v>#DIV/0!</v>
      </c>
      <c r="S106" s="537" t="e">
        <f>S96+Y97</f>
        <v>#DIV/0!</v>
      </c>
      <c r="T106" s="433" t="s">
        <v>13</v>
      </c>
      <c r="U106" s="433">
        <f t="shared" si="12"/>
        <v>2.6</v>
      </c>
      <c r="V106" s="433">
        <f t="shared" si="12"/>
        <v>1.013</v>
      </c>
      <c r="W106" s="433">
        <f t="shared" si="12"/>
        <v>0.468</v>
      </c>
      <c r="X106" s="328"/>
      <c r="Y106" s="328"/>
      <c r="Z106" s="328"/>
      <c r="AA106" s="362"/>
      <c r="AB106" s="362"/>
      <c r="AC106" s="362"/>
      <c r="AD106" s="362"/>
      <c r="AE106" s="362"/>
      <c r="AF106" s="328"/>
      <c r="AG106" s="328"/>
      <c r="AH106" s="362"/>
    </row>
    <row r="107" spans="8:8">
      <c r="L107" s="321"/>
      <c r="M107" s="328"/>
      <c r="N107" s="328"/>
      <c r="O107" s="328"/>
      <c r="P107" s="328"/>
      <c r="Q107" s="494"/>
      <c r="R107" s="328"/>
      <c r="S107" s="328"/>
      <c r="T107" s="328"/>
      <c r="U107" s="328"/>
      <c r="V107" s="328"/>
      <c r="W107" s="328"/>
      <c r="X107" s="328"/>
      <c r="Y107" s="328"/>
      <c r="Z107" s="328"/>
      <c r="AA107" s="362"/>
      <c r="AB107" s="362"/>
      <c r="AC107" s="362"/>
      <c r="AD107" s="362"/>
      <c r="AE107" s="362"/>
      <c r="AF107" s="328"/>
      <c r="AG107" s="328"/>
      <c r="AH107" s="362"/>
    </row>
    <row r="108" spans="8:8">
      <c r="L108" s="321"/>
      <c r="M108" s="321"/>
      <c r="N108" s="321"/>
      <c r="O108" s="321"/>
      <c r="P108" s="321"/>
      <c r="Q108" s="462"/>
      <c r="R108" s="321"/>
      <c r="S108" s="321"/>
      <c r="T108" s="321"/>
      <c r="U108" s="321"/>
      <c r="V108" s="321"/>
      <c r="W108" s="321"/>
      <c r="X108" s="321"/>
      <c r="Y108" s="321"/>
      <c r="Z108" s="321"/>
      <c r="AA108" s="321"/>
      <c r="AB108" s="321"/>
      <c r="AC108" s="321"/>
      <c r="AD108" s="321"/>
      <c r="AE108" s="321"/>
      <c r="AF108" s="321"/>
      <c r="AG108" s="321"/>
      <c r="AH108" s="321"/>
    </row>
    <row r="109" spans="8:8" ht="15.0">
      <c r="L109" s="321"/>
      <c r="M109" s="328"/>
      <c r="N109" s="328"/>
      <c r="O109" s="328"/>
      <c r="P109" s="328"/>
      <c r="Q109" s="494"/>
      <c r="R109" s="328"/>
      <c r="S109" s="328"/>
      <c r="T109" s="328"/>
      <c r="U109" s="328"/>
      <c r="V109" s="328"/>
      <c r="W109" s="328"/>
      <c r="X109" s="328"/>
      <c r="Y109" s="328"/>
      <c r="Z109" s="328"/>
      <c r="AA109" s="328"/>
      <c r="AB109" s="328"/>
      <c r="AC109" s="328"/>
      <c r="AD109" s="328"/>
      <c r="AE109" s="328"/>
      <c r="AF109" s="328"/>
      <c r="AG109" s="362"/>
      <c r="AH109" s="362"/>
    </row>
    <row r="110" spans="8:8" ht="15.0">
      <c r="L110" s="321"/>
      <c r="M110" s="495" t="s">
        <v>432</v>
      </c>
      <c r="N110" s="496">
        <v>1.0</v>
      </c>
      <c r="O110" s="496">
        <v>0.95</v>
      </c>
      <c r="P110" s="496">
        <v>0.9</v>
      </c>
      <c r="Q110" s="494"/>
      <c r="R110" s="433" t="s">
        <v>287</v>
      </c>
      <c r="S110" s="328"/>
      <c r="T110" s="328"/>
      <c r="U110" s="433" t="s">
        <v>382</v>
      </c>
      <c r="V110" s="328"/>
      <c r="W110" s="328"/>
      <c r="X110" s="433" t="s">
        <v>287</v>
      </c>
      <c r="Y110" s="433" t="e">
        <f>N112*(Y116-O111)*(Y116-P111)/((N111-O111)*(N111-P111))+O112*(Y116-N111)*(Y116-P111)/((O111-N111)*(O111-P111))+P112*(Y116-N111)*(Y116-O111)/((P111-N111)*(P111-O111))</f>
        <v>#DIV/0!</v>
      </c>
      <c r="Z110" s="328"/>
      <c r="AA110" s="513" t="s">
        <v>14</v>
      </c>
      <c r="AB110" s="513"/>
      <c r="AC110" s="567"/>
      <c r="AD110" s="362"/>
      <c r="AE110" s="362"/>
      <c r="AF110" s="328"/>
      <c r="AG110" s="362"/>
      <c r="AH110" s="362"/>
    </row>
    <row r="111" spans="8:8" ht="15.0">
      <c r="L111" s="321"/>
      <c r="M111" s="502" t="s">
        <v>260</v>
      </c>
      <c r="N111" s="498"/>
      <c r="O111" s="499"/>
      <c r="P111" s="500"/>
      <c r="Q111" s="494"/>
      <c r="R111" s="433" t="s">
        <v>383</v>
      </c>
      <c r="S111" s="501" t="e">
        <f>Y110*$AO$2*$B$3</f>
        <v>#DIV/0!</v>
      </c>
      <c r="T111" s="328"/>
      <c r="U111" s="328"/>
      <c r="V111" s="328"/>
      <c r="W111" s="328"/>
      <c r="X111" s="433" t="s">
        <v>7</v>
      </c>
      <c r="Y111" s="501" t="e">
        <f>W123*POWER(V123,(N111-Y116))</f>
        <v>#NUM!</v>
      </c>
      <c r="Z111" s="328"/>
      <c r="AA111" s="568">
        <f>N111</f>
        <v>0.0</v>
      </c>
      <c r="AB111" s="568">
        <f>O111</f>
        <v>0.0</v>
      </c>
      <c r="AC111" s="568">
        <f>P111</f>
        <v>0.0</v>
      </c>
      <c r="AD111" s="523" t="e">
        <f>W119</f>
        <v>#NUM!</v>
      </c>
      <c r="AE111" s="362"/>
      <c r="AF111" s="328"/>
      <c r="AG111" s="362"/>
      <c r="AH111" s="362"/>
    </row>
    <row r="112" spans="8:8" ht="15.0">
      <c r="L112" s="321"/>
      <c r="M112" s="502" t="s">
        <v>287</v>
      </c>
      <c r="N112" s="497"/>
      <c r="O112" s="503"/>
      <c r="P112" s="504"/>
      <c r="Q112" s="494"/>
      <c r="R112" s="433" t="s">
        <v>384</v>
      </c>
      <c r="S112" s="501" t="e">
        <f>IF(S118&gt;0,S111*Y113,S111*Y114)</f>
        <v>#NUM!</v>
      </c>
      <c r="T112" s="328"/>
      <c r="U112" s="433" t="s">
        <v>385</v>
      </c>
      <c r="V112" s="433" t="e">
        <f>Y110*$B$3*$AO$1</f>
        <v>#DIV/0!</v>
      </c>
      <c r="W112" s="328"/>
      <c r="X112" s="433" t="s">
        <v>8</v>
      </c>
      <c r="Y112" s="501" t="e">
        <f>W124*POWER(V124,(N111-Y116))</f>
        <v>#NUM!</v>
      </c>
      <c r="Z112" s="328"/>
      <c r="AA112" s="498"/>
      <c r="AB112" s="499"/>
      <c r="AC112" s="500"/>
      <c r="AD112" s="569" t="e">
        <f>AA112*(AD111-AB111)*(AD111-AC111)/((AA111-AB111)*(AA111-AC111))+AB112*(AD111-AA111)*(AD111-AC111)/((AB111-AA111)*(AB111-AC111))+AC112*(AD111-AA111)*(AD111-AB111)/((AC111-AA111)*(AC111-AB111))</f>
        <v>#NUM!</v>
      </c>
      <c r="AE112" s="362"/>
      <c r="AF112" s="328"/>
      <c r="AG112" s="362"/>
      <c r="AH112" s="362"/>
    </row>
    <row r="113" spans="8:8" ht="15.0">
      <c r="L113" s="321"/>
      <c r="M113" s="328"/>
      <c r="N113" s="328"/>
      <c r="O113" s="328"/>
      <c r="P113" s="328"/>
      <c r="Q113" s="494"/>
      <c r="R113" s="433" t="s">
        <v>386</v>
      </c>
      <c r="S113" s="501" t="e">
        <f>S112*V116</f>
        <v>#NUM!</v>
      </c>
      <c r="T113" s="328"/>
      <c r="U113" s="433"/>
      <c r="V113" s="433"/>
      <c r="W113" s="328"/>
      <c r="X113" s="433" t="s">
        <v>9</v>
      </c>
      <c r="Y113" s="501" t="e">
        <f>IF((Y116&gt;0),((100+(S118/-U123))/100))</f>
        <v>#NUM!</v>
      </c>
      <c r="Z113" s="328"/>
      <c r="AA113" s="497"/>
      <c r="AB113" s="503"/>
      <c r="AC113" s="504"/>
      <c r="AD113" s="570" t="e">
        <f>AA113*(AD111-AB111)*(AD111-AC111)/((AA111-AB111)*(AA111-AC111))+AB113*(AD111-AA111)*(AD111-AC111)/((AB111-AA111)*(AB111-AC111))+AC113*(AD111-AA111)*(AD111-AB111)/((AC111-AA111)*(AC111-AB111))</f>
        <v>#NUM!</v>
      </c>
      <c r="AE113" s="571"/>
      <c r="AF113" s="328"/>
      <c r="AG113" s="362"/>
      <c r="AH113" s="362"/>
    </row>
    <row r="114" spans="8:8" ht="15.0">
      <c r="L114" s="321"/>
      <c r="M114" s="328"/>
      <c r="N114" s="328"/>
      <c r="O114" s="328"/>
      <c r="P114" s="328"/>
      <c r="Q114" s="494"/>
      <c r="R114" s="433" t="s">
        <v>387</v>
      </c>
      <c r="S114" s="501" t="e">
        <f>S112/V117</f>
        <v>#NUM!</v>
      </c>
      <c r="T114" s="328"/>
      <c r="U114" s="433" t="s">
        <v>388</v>
      </c>
      <c r="V114" s="433" t="e">
        <f>$AO$1*$B$3*Y110*1*(1-(S118*0.016))</f>
        <v>#DIV/0!</v>
      </c>
      <c r="W114" s="328"/>
      <c r="X114" s="433" t="s">
        <v>10</v>
      </c>
      <c r="Y114" s="501" t="e">
        <f>IF((Y116&gt;0),((100+(S118/-U124))/100))</f>
        <v>#NUM!</v>
      </c>
      <c r="Z114" s="328"/>
      <c r="AA114" s="362"/>
      <c r="AB114" s="362"/>
      <c r="AC114" s="362"/>
      <c r="AD114" s="362"/>
      <c r="AE114" s="362"/>
      <c r="AF114" s="328"/>
      <c r="AG114" s="362"/>
      <c r="AH114" s="362"/>
    </row>
    <row r="115" spans="8:8" ht="15.0">
      <c r="L115" s="321"/>
      <c r="M115" s="508" t="s">
        <v>7</v>
      </c>
      <c r="N115" s="509">
        <v>1.0</v>
      </c>
      <c r="O115" s="510"/>
      <c r="P115" s="328"/>
      <c r="Q115" s="572"/>
      <c r="R115" s="328"/>
      <c r="S115" s="328"/>
      <c r="T115" s="328"/>
      <c r="U115" s="433" t="s">
        <v>390</v>
      </c>
      <c r="V115" s="433" t="e">
        <f>$AO$1*$B$3*Y110*1.25*(1-(S118*0.016))</f>
        <v>#DIV/0!</v>
      </c>
      <c r="W115" s="328"/>
      <c r="X115" s="433" t="s">
        <v>256</v>
      </c>
      <c r="Y115" s="433" t="e">
        <f>Y110/4*$B$5</f>
        <v>#DIV/0!</v>
      </c>
      <c r="Z115" s="328"/>
      <c r="AA115" s="362"/>
      <c r="AB115" s="362"/>
      <c r="AC115" s="362"/>
      <c r="AD115" s="362"/>
      <c r="AE115" s="362"/>
      <c r="AF115" s="328"/>
      <c r="AG115" s="362"/>
      <c r="AH115" s="362"/>
    </row>
    <row r="116" spans="8:8" ht="15.0">
      <c r="L116" s="321"/>
      <c r="M116" s="508"/>
      <c r="N116" s="511">
        <v>5.0</v>
      </c>
      <c r="O116" s="512"/>
      <c r="P116" s="328"/>
      <c r="Q116" s="494"/>
      <c r="R116" s="433" t="s">
        <v>394</v>
      </c>
      <c r="S116" s="500"/>
      <c r="T116" s="328"/>
      <c r="U116" s="433" t="s">
        <v>395</v>
      </c>
      <c r="V116" s="433" t="e">
        <f>(100+(V114*2.75/-2))/100</f>
        <v>#DIV/0!</v>
      </c>
      <c r="W116" s="328"/>
      <c r="X116" s="433" t="s">
        <v>11</v>
      </c>
      <c r="Y116" s="433">
        <f>$AH$13</f>
        <v>278.4</v>
      </c>
      <c r="Z116" s="328"/>
      <c r="AA116" s="328"/>
      <c r="AB116" s="328"/>
      <c r="AC116" s="328"/>
      <c r="AD116" s="362"/>
      <c r="AE116" s="362"/>
      <c r="AF116" s="328"/>
      <c r="AG116" s="362"/>
      <c r="AH116" s="362"/>
    </row>
    <row r="117" spans="8:8" ht="15.0">
      <c r="L117" s="321"/>
      <c r="M117" s="508"/>
      <c r="N117" s="511">
        <v>10.0</v>
      </c>
      <c r="O117" s="512"/>
      <c r="P117" s="328"/>
      <c r="Q117" s="494"/>
      <c r="R117" s="497"/>
      <c r="S117" s="504"/>
      <c r="T117" s="328"/>
      <c r="U117" s="433" t="s">
        <v>396</v>
      </c>
      <c r="V117" s="433" t="e">
        <f>(100+(V115*4/-6.25))/100</f>
        <v>#DIV/0!</v>
      </c>
      <c r="W117" s="328"/>
      <c r="X117" s="328"/>
      <c r="Y117" s="328"/>
      <c r="Z117" s="328"/>
      <c r="AA117" s="459" t="s">
        <v>17</v>
      </c>
      <c r="AB117" s="460"/>
      <c r="AC117" s="461"/>
      <c r="AD117" s="362"/>
      <c r="AE117" s="362"/>
      <c r="AF117" s="328"/>
      <c r="AG117" s="362"/>
      <c r="AH117" s="362"/>
    </row>
    <row r="118" spans="8:8" ht="15.0">
      <c r="L118" s="321"/>
      <c r="M118" s="528"/>
      <c r="N118" s="529">
        <v>20.0</v>
      </c>
      <c r="O118" s="530"/>
      <c r="P118" s="362"/>
      <c r="Q118" s="494"/>
      <c r="R118" s="433" t="s">
        <v>397</v>
      </c>
      <c r="S118" s="504" t="e">
        <f>IF($B$2&gt;0,$B$2*Y111,$B$2*Y112)</f>
        <v>#NUM!</v>
      </c>
      <c r="T118" s="328"/>
      <c r="U118" s="328"/>
      <c r="V118" s="328"/>
      <c r="W118" s="328"/>
      <c r="X118" s="328"/>
      <c r="Y118" s="328"/>
      <c r="Z118" s="328"/>
      <c r="AA118" s="463" t="e">
        <f>MOD(R123,20/72)</f>
        <v>#NUM!</v>
      </c>
      <c r="AB118" s="464" t="e">
        <f>MOD(R124,20/72)</f>
        <v>#NUM!</v>
      </c>
      <c r="AC118" s="465"/>
      <c r="AD118" s="362"/>
      <c r="AE118" s="362"/>
      <c r="AF118" s="328"/>
      <c r="AG118" s="362"/>
      <c r="AH118" s="362"/>
    </row>
    <row r="119" spans="8:8" ht="15.0">
      <c r="L119" s="321"/>
      <c r="M119" s="508"/>
      <c r="N119" s="535">
        <f>$B$2</f>
        <v>5.68</v>
      </c>
      <c r="O119" s="573">
        <f>O115*(N119-N116)*(N119-N117)*(N119-N118)/((N115-N116)*(N115-N117)*(N115-N118))+O116*(N119-N115)*(N119-N117)*(N119-N118)/((N116-N115)*(N116-N117)*(N116-N118))+O117*(N119-N115)*(N119-N116)*(N119-N118)/((N117-N115)*(N117-N116)*(N117-N118))+O118*(N119-N115)*(N119-N116)*(N119-N117)/((N118-N115)*(N118-N116)*(N118-N117))</f>
        <v>0.0</v>
      </c>
      <c r="P119" s="328"/>
      <c r="Q119" s="494"/>
      <c r="R119" s="328"/>
      <c r="S119" s="328"/>
      <c r="T119" s="328"/>
      <c r="U119" s="433" t="s">
        <v>398</v>
      </c>
      <c r="V119" s="537" t="e">
        <f>Y116+S118-V114</f>
        <v>#NUM!</v>
      </c>
      <c r="W119" s="574" t="e">
        <f>Y116+S118</f>
        <v>#NUM!</v>
      </c>
      <c r="X119" s="328"/>
      <c r="Y119" s="328"/>
      <c r="Z119" s="328"/>
      <c r="AA119" s="463" t="e">
        <f>AA118/(20/72)</f>
        <v>#NUM!</v>
      </c>
      <c r="AB119" s="464" t="e">
        <f>AB118/(20/72)</f>
        <v>#NUM!</v>
      </c>
      <c r="AC119" s="465"/>
      <c r="AD119" s="362"/>
      <c r="AE119" s="362"/>
      <c r="AF119" s="328"/>
      <c r="AG119" s="362"/>
      <c r="AH119" s="362"/>
    </row>
    <row r="120" spans="8:8" ht="15.0">
      <c r="L120" s="321"/>
      <c r="M120" s="508" t="s">
        <v>13</v>
      </c>
      <c r="N120" s="544">
        <v>-1.0</v>
      </c>
      <c r="O120" s="510"/>
      <c r="P120" s="328"/>
      <c r="Q120" s="494"/>
      <c r="R120" s="328"/>
      <c r="S120" s="328"/>
      <c r="T120" s="328"/>
      <c r="U120" s="433" t="s">
        <v>400</v>
      </c>
      <c r="V120" s="537" t="e">
        <f>Y116+S118+V115</f>
        <v>#NUM!</v>
      </c>
      <c r="W120" s="362"/>
      <c r="X120" s="328"/>
      <c r="Y120" s="328"/>
      <c r="Z120" s="328"/>
      <c r="AA120" s="463" t="e">
        <f>IF(AA119&lt;0.288,ROUNDDOWN(AA119,0),ROUNDUP(AA119,0))</f>
        <v>#NUM!</v>
      </c>
      <c r="AB120" s="464" t="e">
        <f>IF(AB119&lt;0.288,ROUNDDOWN(AB119,0),ROUNDUP(AB119,0))</f>
        <v>#NUM!</v>
      </c>
      <c r="AC120" s="465"/>
      <c r="AD120" s="362"/>
      <c r="AE120" s="362"/>
      <c r="AF120" s="328"/>
      <c r="AG120" s="362"/>
      <c r="AH120" s="362"/>
    </row>
    <row r="121" spans="8:8" ht="15.0">
      <c r="L121" s="321"/>
      <c r="M121" s="508"/>
      <c r="N121" s="546">
        <v>-10.0</v>
      </c>
      <c r="O121" s="512"/>
      <c r="P121" s="328"/>
      <c r="Q121" s="494"/>
      <c r="R121" s="328"/>
      <c r="S121" s="328"/>
      <c r="T121" s="328"/>
      <c r="U121" s="328"/>
      <c r="V121" s="328"/>
      <c r="W121" s="328"/>
      <c r="X121" s="328"/>
      <c r="Y121" s="328"/>
      <c r="Z121" s="328"/>
      <c r="AA121" s="463"/>
      <c r="AB121" s="464"/>
      <c r="AC121" s="465"/>
      <c r="AD121" s="362"/>
      <c r="AE121" s="362"/>
      <c r="AF121" s="328"/>
      <c r="AG121" s="362"/>
      <c r="AH121" s="362"/>
    </row>
    <row r="122" spans="8:8" ht="15.0">
      <c r="L122" s="321"/>
      <c r="M122" s="508"/>
      <c r="N122" s="546">
        <v>-20.0</v>
      </c>
      <c r="O122" s="512"/>
      <c r="P122" s="362"/>
      <c r="Q122" s="548" t="s">
        <v>133</v>
      </c>
      <c r="R122" s="433" t="s">
        <v>401</v>
      </c>
      <c r="S122" s="433" t="s">
        <v>402</v>
      </c>
      <c r="T122" s="433"/>
      <c r="U122" s="433" t="s">
        <v>14</v>
      </c>
      <c r="V122" s="433" t="s">
        <v>403</v>
      </c>
      <c r="W122" s="433" t="s">
        <v>15</v>
      </c>
      <c r="X122" s="433" t="s">
        <v>19</v>
      </c>
      <c r="Y122" s="328"/>
      <c r="Z122" s="328"/>
      <c r="AA122" s="459" t="s">
        <v>19</v>
      </c>
      <c r="AB122" s="464" t="e">
        <f>IF(AA118&lt;0.08,AC124,AB123)</f>
        <v>#NUM!</v>
      </c>
      <c r="AC122" s="465" t="e">
        <f>IF(AB118&lt;0.08,AC124,AC123)</f>
        <v>#NUM!</v>
      </c>
      <c r="AD122" s="362"/>
      <c r="AE122" s="362"/>
      <c r="AF122" s="328"/>
      <c r="AG122" s="362"/>
      <c r="AH122" s="362"/>
    </row>
    <row r="123" spans="8:8" ht="15.0">
      <c r="L123" s="321"/>
      <c r="M123" s="508"/>
      <c r="N123" s="549">
        <v>-30.0</v>
      </c>
      <c r="O123" s="530"/>
      <c r="P123" s="433" t="s">
        <v>0</v>
      </c>
      <c r="Q123" s="548"/>
      <c r="R123" s="537" t="e">
        <f>100*(V119-O111)*(V119-P111)/((N111-O111)*(N111-P111))+95*(V119-N111)*(V119-P111)/((O111-N111)*(O111-P111))+90*(V119-N111)*(V119-O111)/((P111-N111)*(P111-O111))</f>
        <v>#NUM!</v>
      </c>
      <c r="S123" s="537" t="e">
        <f>S113+Y115</f>
        <v>#NUM!</v>
      </c>
      <c r="T123" s="433" t="s">
        <v>7</v>
      </c>
      <c r="U123" s="433" t="e">
        <f>AD112</f>
        <v>#NUM!</v>
      </c>
      <c r="V123" s="433"/>
      <c r="W123" s="501"/>
      <c r="X123" s="433"/>
      <c r="Y123" s="328"/>
      <c r="Z123" s="328"/>
      <c r="AA123" s="479"/>
      <c r="AB123" s="480" t="e">
        <f>IF(AA118&gt;(20/72)-0.08,AC124,AC124-1)</f>
        <v>#NUM!</v>
      </c>
      <c r="AC123" s="481" t="e">
        <f>IF(AB118&gt;(20/72)-0.08,AC124,AC124-1)</f>
        <v>#NUM!</v>
      </c>
      <c r="AD123" s="362"/>
      <c r="AE123" s="362"/>
      <c r="AF123" s="328"/>
      <c r="AG123" s="362"/>
      <c r="AH123" s="362"/>
    </row>
    <row r="124" spans="8:8" ht="15.0">
      <c r="L124" s="321"/>
      <c r="M124" s="508"/>
      <c r="N124" s="535">
        <f>$B$2</f>
        <v>5.68</v>
      </c>
      <c r="O124" s="575">
        <f>O120*(N124-N121)*(N124-N122)*(N124-N123)/((N120-N121)*(N120-N122)*(N120-N123))+O121*(N124-N120)*(N124-N122)*(N124-N123)/((N121-N120)*(N121-N122)*(N121-N123))+O122*(N124-N120)*(N124-N121)*(N124-N123)/((N122-N120)*(N122-N121)*(N122-N123))+O123*(N124-N120)*(N124-N121)*(N124-N122)/((N123-N120)*(N123-N121)*(N123-N122))</f>
        <v>0.0</v>
      </c>
      <c r="P124" s="433" t="s">
        <v>1</v>
      </c>
      <c r="Q124" s="548"/>
      <c r="R124" s="537" t="e">
        <f>100*(V120-O111)*(V120-P111)/((N111-O111)*(N111-P111))+95*(V120-N111)*(V120-P111)/((O111-N111)*(O111-P111))+90*(V120-N111)*(V120-O111)/((P111-N111)*(P111-O111))</f>
        <v>#NUM!</v>
      </c>
      <c r="S124" s="537" t="e">
        <f>S114+Y115</f>
        <v>#NUM!</v>
      </c>
      <c r="T124" s="433" t="s">
        <v>13</v>
      </c>
      <c r="U124" s="433" t="e">
        <f>AD113</f>
        <v>#NUM!</v>
      </c>
      <c r="V124" s="433"/>
      <c r="W124" s="501"/>
      <c r="X124" s="433"/>
      <c r="Y124" s="328"/>
      <c r="Z124" s="328"/>
      <c r="AA124" s="482" t="s">
        <v>433</v>
      </c>
      <c r="AB124" s="483"/>
      <c r="AC124" s="484">
        <v>30.0</v>
      </c>
      <c r="AD124" s="362"/>
      <c r="AE124" s="362"/>
      <c r="AF124" s="328"/>
      <c r="AG124" s="362"/>
      <c r="AH124" s="362"/>
    </row>
    <row r="125" spans="8:8">
      <c r="L125" s="321"/>
      <c r="M125" s="328"/>
      <c r="N125" s="328"/>
      <c r="O125" s="328"/>
      <c r="P125" s="328"/>
      <c r="Q125" s="494"/>
      <c r="R125" s="328"/>
      <c r="S125" s="328"/>
      <c r="T125" s="328"/>
      <c r="U125" s="328"/>
      <c r="V125" s="328"/>
      <c r="W125" s="328"/>
      <c r="X125" s="328"/>
      <c r="Y125" s="328"/>
      <c r="Z125" s="362"/>
      <c r="AA125" s="362"/>
      <c r="AB125" s="328"/>
      <c r="AC125" s="328"/>
      <c r="AD125" s="362"/>
      <c r="AE125" s="362"/>
      <c r="AF125" s="328"/>
      <c r="AG125" s="362"/>
      <c r="AH125" s="362"/>
    </row>
    <row r="126" spans="8:8">
      <c r="L126" s="321"/>
      <c r="M126" s="321"/>
      <c r="N126" s="321"/>
      <c r="O126" s="321"/>
      <c r="P126" s="321"/>
      <c r="Q126" s="462"/>
      <c r="R126" s="321"/>
      <c r="S126" s="321"/>
      <c r="T126" s="321"/>
      <c r="U126" s="321"/>
      <c r="V126" s="321"/>
      <c r="W126" s="321"/>
      <c r="X126" s="321"/>
      <c r="Y126" s="321"/>
      <c r="Z126" s="321"/>
      <c r="AA126" s="321"/>
      <c r="AB126" s="321"/>
      <c r="AC126" s="321"/>
      <c r="AD126" s="321"/>
      <c r="AE126" s="321"/>
      <c r="AF126" s="321"/>
      <c r="AG126" s="321"/>
      <c r="AH126" s="321"/>
    </row>
    <row r="127" spans="8:8" ht="15.0">
      <c r="L127" s="321"/>
      <c r="M127" s="328"/>
      <c r="N127" s="328"/>
      <c r="O127" s="328"/>
      <c r="P127" s="328"/>
      <c r="Q127" s="494"/>
      <c r="R127" s="328"/>
      <c r="S127" s="328"/>
      <c r="T127" s="328"/>
      <c r="U127" s="328"/>
      <c r="V127" s="328"/>
      <c r="W127" s="328"/>
      <c r="X127" s="328"/>
      <c r="Y127" s="328"/>
      <c r="Z127" s="328"/>
      <c r="AA127" s="328"/>
      <c r="AB127" s="328"/>
      <c r="AC127" s="328"/>
      <c r="AD127" s="328"/>
      <c r="AE127" s="328"/>
      <c r="AF127" s="328"/>
      <c r="AG127" s="362"/>
      <c r="AH127" s="362"/>
    </row>
    <row r="128" spans="8:8" ht="15.0">
      <c r="L128" s="321"/>
      <c r="M128" s="551" t="s">
        <v>432</v>
      </c>
      <c r="N128" s="552">
        <v>1.0</v>
      </c>
      <c r="O128" s="552">
        <v>0.95</v>
      </c>
      <c r="P128" s="552">
        <v>0.9</v>
      </c>
      <c r="Q128" s="494"/>
      <c r="R128" s="433" t="s">
        <v>287</v>
      </c>
      <c r="S128" s="328"/>
      <c r="T128" s="328"/>
      <c r="U128" s="433" t="s">
        <v>382</v>
      </c>
      <c r="V128" s="328"/>
      <c r="W128" s="328"/>
      <c r="X128" s="433" t="s">
        <v>287</v>
      </c>
      <c r="Y128" s="433" t="e">
        <f>N130*(Y134-O129)*(Y134-P129)/((N129-O129)*(N129-P129))+O130*(Y134-N129)*(Y134-P129)/((O129-N129)*(O129-P129))+P130*(Y134-N129)*(Y134-O129)/((P129-N129)*(P129-O129))</f>
        <v>#DIV/0!</v>
      </c>
      <c r="Z128" s="328"/>
      <c r="AA128" s="513" t="s">
        <v>14</v>
      </c>
      <c r="AB128" s="513"/>
      <c r="AC128" s="567"/>
      <c r="AD128" s="362"/>
      <c r="AE128" s="362"/>
      <c r="AF128" s="328"/>
      <c r="AG128" s="362"/>
      <c r="AH128" s="362"/>
    </row>
    <row r="129" spans="8:8" ht="15.0">
      <c r="L129" s="321"/>
      <c r="M129" s="553" t="s">
        <v>260</v>
      </c>
      <c r="N129" s="554">
        <f t="shared" si="13" ref="N129:P130">N111</f>
        <v>0.0</v>
      </c>
      <c r="O129" s="555">
        <f t="shared" si="13"/>
        <v>0.0</v>
      </c>
      <c r="P129" s="556">
        <f t="shared" si="13"/>
        <v>0.0</v>
      </c>
      <c r="Q129" s="494"/>
      <c r="R129" s="433" t="s">
        <v>383</v>
      </c>
      <c r="S129" s="501" t="e">
        <f>IF(Y136&lt;1,-1*Y128*B$31*$B$32,Y128*B$31*$B$32)</f>
        <v>#DIV/0!</v>
      </c>
      <c r="T129" s="328"/>
      <c r="U129" s="328"/>
      <c r="V129" s="328"/>
      <c r="W129" s="328"/>
      <c r="X129" s="433" t="s">
        <v>7</v>
      </c>
      <c r="Y129" s="501" t="e">
        <f>W141*POWER(V141,(N129-Y134))</f>
        <v>#NUM!</v>
      </c>
      <c r="Z129" s="328"/>
      <c r="AA129" s="568">
        <f>N129</f>
        <v>0.0</v>
      </c>
      <c r="AB129" s="568">
        <f>O129</f>
        <v>0.0</v>
      </c>
      <c r="AC129" s="568">
        <f>P129</f>
        <v>0.0</v>
      </c>
      <c r="AD129" s="523" t="e">
        <f>W137</f>
        <v>#NUM!</v>
      </c>
      <c r="AE129" s="362"/>
      <c r="AF129" s="328"/>
      <c r="AG129" s="362"/>
      <c r="AH129" s="362"/>
    </row>
    <row r="130" spans="8:8" ht="15.0">
      <c r="L130" s="321"/>
      <c r="M130" s="557" t="s">
        <v>287</v>
      </c>
      <c r="N130" s="553">
        <f t="shared" si="13"/>
        <v>0.0</v>
      </c>
      <c r="O130" s="558">
        <f t="shared" si="13"/>
        <v>0.0</v>
      </c>
      <c r="P130" s="559">
        <f t="shared" si="13"/>
        <v>0.0</v>
      </c>
      <c r="Q130" s="494"/>
      <c r="R130" s="433" t="s">
        <v>384</v>
      </c>
      <c r="S130" s="501" t="e">
        <f>IF(S136&gt;0,S129*Y131,S129*Y132)</f>
        <v>#NUM!</v>
      </c>
      <c r="T130" s="328"/>
      <c r="U130" s="433" t="s">
        <v>385</v>
      </c>
      <c r="V130" s="433" t="e">
        <f>IF(Y136&lt;1,-1*Y128*$B$31*$B$33,Y128*$B$31*$B$33)</f>
        <v>#DIV/0!</v>
      </c>
      <c r="W130" s="328"/>
      <c r="X130" s="433" t="s">
        <v>8</v>
      </c>
      <c r="Y130" s="501" t="e">
        <f>W142*POWER(V142,(N129-Y134))</f>
        <v>#NUM!</v>
      </c>
      <c r="Z130" s="328"/>
      <c r="AA130" s="498"/>
      <c r="AB130" s="499"/>
      <c r="AC130" s="500"/>
      <c r="AD130" s="569" t="e">
        <f>AA130*(AD129-AB129)*(AD129-AC129)/((AA129-AB129)*(AA129-AC129))+AB130*(AD129-AA129)*(AD129-AC129)/((AB129-AA129)*(AB129-AC129))+AC130*(AD129-AA129)*(AD129-AB129)/((AC129-AA129)*(AC129-AB129))</f>
        <v>#NUM!</v>
      </c>
      <c r="AE130" s="362"/>
      <c r="AF130" s="328"/>
      <c r="AG130" s="362"/>
      <c r="AH130" s="362"/>
    </row>
    <row r="131" spans="8:8" ht="15.0">
      <c r="L131" s="321"/>
      <c r="M131" s="328"/>
      <c r="N131" s="328"/>
      <c r="O131" s="328"/>
      <c r="P131" s="328"/>
      <c r="Q131" s="494"/>
      <c r="R131" s="433" t="s">
        <v>386</v>
      </c>
      <c r="S131" s="501" t="e">
        <f>S130*V134</f>
        <v>#NUM!</v>
      </c>
      <c r="T131" s="328"/>
      <c r="U131" s="433"/>
      <c r="V131" s="433"/>
      <c r="W131" s="328"/>
      <c r="X131" s="433" t="s">
        <v>9</v>
      </c>
      <c r="Y131" s="501" t="e">
        <f>IF((Y134&gt;0),((100+(S136/-U141))/100))</f>
        <v>#NUM!</v>
      </c>
      <c r="Z131" s="328"/>
      <c r="AA131" s="497"/>
      <c r="AB131" s="503"/>
      <c r="AC131" s="504"/>
      <c r="AD131" s="570" t="e">
        <f>AA131*(AD129-AB129)*(AD129-AC129)/((AA129-AB129)*(AA129-AC129))+AB131*(AD129-AA129)*(AD129-AC129)/((AB129-AA129)*(AB129-AC129))+AC131*(AD129-AA129)*(AD129-AB129)/((AC129-AA129)*(AC129-AB129))</f>
        <v>#NUM!</v>
      </c>
      <c r="AE131" s="571"/>
      <c r="AF131" s="328"/>
      <c r="AG131" s="362"/>
      <c r="AH131" s="362"/>
    </row>
    <row r="132" spans="8:8" ht="15.0">
      <c r="L132" s="321"/>
      <c r="M132" s="328"/>
      <c r="N132" s="328"/>
      <c r="O132" s="328"/>
      <c r="P132" s="328"/>
      <c r="Q132" s="494"/>
      <c r="R132" s="433" t="s">
        <v>387</v>
      </c>
      <c r="S132" s="501" t="e">
        <f>S130/V135</f>
        <v>#NUM!</v>
      </c>
      <c r="T132" s="328"/>
      <c r="U132" s="433" t="s">
        <v>388</v>
      </c>
      <c r="V132" s="433" t="e">
        <f>IF(Y136&lt;1,-Y128*$B$31*$B$33*1*(1-(S136*0.016)),Y128*$B$31*$B$33*1*(1-(S136*0.016)))</f>
        <v>#DIV/0!</v>
      </c>
      <c r="W132" s="328">
        <v>1.0</v>
      </c>
      <c r="X132" s="433" t="s">
        <v>10</v>
      </c>
      <c r="Y132" s="501" t="e">
        <f>IF((Y134&gt;0),((100+(S136/-U142))/100))</f>
        <v>#NUM!</v>
      </c>
      <c r="Z132" s="328"/>
      <c r="AA132" s="362"/>
      <c r="AB132" s="362"/>
      <c r="AC132" s="362"/>
      <c r="AD132" s="362"/>
      <c r="AE132" s="362"/>
      <c r="AF132" s="328"/>
      <c r="AG132" s="362"/>
      <c r="AH132" s="362"/>
    </row>
    <row r="133" spans="8:8" ht="15.0">
      <c r="L133" s="321"/>
      <c r="M133" s="508" t="s">
        <v>7</v>
      </c>
      <c r="N133" s="509">
        <v>1.0</v>
      </c>
      <c r="O133" s="510">
        <f>O115</f>
        <v>0.0</v>
      </c>
      <c r="P133" s="328"/>
      <c r="Q133" s="572"/>
      <c r="R133" s="328"/>
      <c r="S133" s="328"/>
      <c r="T133" s="328"/>
      <c r="U133" s="433" t="s">
        <v>390</v>
      </c>
      <c r="V133" s="433" t="e">
        <f>IF(Y136&lt;1,-1*Y128*$B$31*$B$33*1.25*(1-(S136*0.016)),Y128*$B$31*$B$33*1.25*(1-(S136*0.016)))</f>
        <v>#DIV/0!</v>
      </c>
      <c r="W133" s="328">
        <v>1.25</v>
      </c>
      <c r="X133" s="433" t="s">
        <v>256</v>
      </c>
      <c r="Y133" s="433" t="e">
        <f>Y128/4*$B$5</f>
        <v>#DIV/0!</v>
      </c>
      <c r="Z133" s="328"/>
      <c r="AA133" s="362"/>
      <c r="AB133" s="362"/>
      <c r="AC133" s="362"/>
      <c r="AD133" s="362"/>
      <c r="AE133" s="362"/>
      <c r="AF133" s="328"/>
      <c r="AG133" s="362"/>
      <c r="AH133" s="362"/>
    </row>
    <row r="134" spans="8:8" ht="15.0">
      <c r="L134" s="321"/>
      <c r="M134" s="508"/>
      <c r="N134" s="511">
        <v>5.0</v>
      </c>
      <c r="O134" s="512">
        <f>O116</f>
        <v>0.0</v>
      </c>
      <c r="P134" s="328"/>
      <c r="Q134" s="494"/>
      <c r="R134" s="433" t="s">
        <v>394</v>
      </c>
      <c r="S134" s="500"/>
      <c r="T134" s="328"/>
      <c r="U134" s="433" t="s">
        <v>395</v>
      </c>
      <c r="V134" s="433" t="e">
        <f>(100+(V132*2.75/-2))/100</f>
        <v>#DIV/0!</v>
      </c>
      <c r="W134" s="328"/>
      <c r="X134" s="433" t="s">
        <v>11</v>
      </c>
      <c r="Y134" s="433">
        <f>$AH$13</f>
        <v>278.4</v>
      </c>
      <c r="Z134" s="328"/>
      <c r="AA134" s="328"/>
      <c r="AB134" s="328"/>
      <c r="AC134" s="328"/>
      <c r="AD134" s="362"/>
      <c r="AE134" s="362"/>
      <c r="AF134" s="328"/>
      <c r="AG134" s="362"/>
      <c r="AH134" s="362"/>
    </row>
    <row r="135" spans="8:8" ht="15.0">
      <c r="L135" s="321"/>
      <c r="M135" s="508"/>
      <c r="N135" s="511">
        <v>10.0</v>
      </c>
      <c r="O135" s="512">
        <f>O117</f>
        <v>0.0</v>
      </c>
      <c r="P135" s="328"/>
      <c r="Q135" s="494"/>
      <c r="R135" s="497"/>
      <c r="S135" s="504"/>
      <c r="T135" s="328"/>
      <c r="U135" s="433" t="s">
        <v>396</v>
      </c>
      <c r="V135" s="433" t="e">
        <f>(100+(V133*4/-6.25))/100</f>
        <v>#DIV/0!</v>
      </c>
      <c r="W135" s="328"/>
      <c r="X135" s="328"/>
      <c r="Y135" s="328"/>
      <c r="Z135" s="328"/>
      <c r="AA135" s="459" t="s">
        <v>17</v>
      </c>
      <c r="AB135" s="460"/>
      <c r="AC135" s="461"/>
      <c r="AD135" s="362"/>
      <c r="AE135" s="362"/>
      <c r="AF135" s="328"/>
      <c r="AG135" s="362"/>
      <c r="AH135" s="362"/>
    </row>
    <row r="136" spans="8:8" ht="15.0">
      <c r="L136" s="321"/>
      <c r="M136" s="528"/>
      <c r="N136" s="529">
        <v>20.0</v>
      </c>
      <c r="O136" s="530">
        <f>O118</f>
        <v>0.0</v>
      </c>
      <c r="P136" s="362"/>
      <c r="Q136" s="494"/>
      <c r="R136" s="433" t="s">
        <v>397</v>
      </c>
      <c r="S136" s="504" t="e">
        <f>IF($B$2&gt;0,$B$2*Y129,$B$2*Y130)</f>
        <v>#NUM!</v>
      </c>
      <c r="T136" s="328"/>
      <c r="U136" s="328"/>
      <c r="V136" s="328"/>
      <c r="W136" s="328"/>
      <c r="X136" s="560" t="s">
        <v>414</v>
      </c>
      <c r="Y136" s="561">
        <f>$B$3*$B$18</f>
        <v>-5.0</v>
      </c>
      <c r="Z136" s="328"/>
      <c r="AA136" s="463" t="e">
        <f>MOD(R141,20/72)</f>
        <v>#NUM!</v>
      </c>
      <c r="AB136" s="464" t="e">
        <f>MOD(R142,20/72)</f>
        <v>#NUM!</v>
      </c>
      <c r="AC136" s="465"/>
      <c r="AD136" s="362"/>
      <c r="AE136" s="362"/>
      <c r="AF136" s="328"/>
      <c r="AG136" s="362"/>
      <c r="AH136" s="362"/>
    </row>
    <row r="137" spans="8:8" ht="15.0">
      <c r="L137" s="321"/>
      <c r="M137" s="508"/>
      <c r="N137" s="535">
        <f>$B$2</f>
        <v>5.68</v>
      </c>
      <c r="O137" s="573">
        <f>O133*(N137-N134)*(N137-N135)*(N137-N136)/((N133-N134)*(N133-N135)*(N133-N136))+O134*(N137-N133)*(N137-N135)*(N137-N136)/((N134-N133)*(N134-N135)*(N134-N136))+O135*(N137-N133)*(N137-N134)*(N137-N136)/((N135-N133)*(N135-N134)*(N135-N136))+O136*(N137-N133)*(N137-N134)*(N137-N135)/((N136-N133)*(N136-N134)*(N136-N135))</f>
        <v>0.0</v>
      </c>
      <c r="P137" s="328"/>
      <c r="Q137" s="494"/>
      <c r="R137" s="328"/>
      <c r="S137" s="328"/>
      <c r="T137" s="328"/>
      <c r="U137" s="433" t="s">
        <v>398</v>
      </c>
      <c r="V137" s="537" t="e">
        <f>Y134+S136-V132</f>
        <v>#NUM!</v>
      </c>
      <c r="W137" s="574" t="e">
        <f>Y134+S136</f>
        <v>#NUM!</v>
      </c>
      <c r="X137" s="328"/>
      <c r="Y137" s="328"/>
      <c r="Z137" s="328"/>
      <c r="AA137" s="463" t="e">
        <f>AA136/(20/72)</f>
        <v>#NUM!</v>
      </c>
      <c r="AB137" s="464" t="e">
        <f>AB136/(20/72)</f>
        <v>#NUM!</v>
      </c>
      <c r="AC137" s="465"/>
      <c r="AD137" s="362"/>
      <c r="AE137" s="362"/>
      <c r="AF137" s="328"/>
      <c r="AG137" s="362"/>
      <c r="AH137" s="362"/>
    </row>
    <row r="138" spans="8:8" ht="15.0">
      <c r="L138" s="321"/>
      <c r="M138" s="508" t="s">
        <v>13</v>
      </c>
      <c r="N138" s="544">
        <v>-1.0</v>
      </c>
      <c r="O138" s="510">
        <f>O120</f>
        <v>0.0</v>
      </c>
      <c r="P138" s="328"/>
      <c r="Q138" s="494"/>
      <c r="R138" s="328"/>
      <c r="S138" s="562" t="e">
        <f>IF(Y136&lt;1,-1*S141,S141)</f>
        <v>#NUM!</v>
      </c>
      <c r="T138" s="328"/>
      <c r="U138" s="433" t="s">
        <v>400</v>
      </c>
      <c r="V138" s="537" t="e">
        <f>Y134+S136+V133</f>
        <v>#NUM!</v>
      </c>
      <c r="W138" s="362"/>
      <c r="X138" s="328"/>
      <c r="Y138" s="328"/>
      <c r="Z138" s="328"/>
      <c r="AA138" s="463" t="e">
        <f>IF(AA137&lt;0.288,ROUNDDOWN(AA137,0),ROUNDUP(AA137,0))</f>
        <v>#NUM!</v>
      </c>
      <c r="AB138" s="464" t="e">
        <f>IF(AB137&lt;0.288,ROUNDDOWN(AB137,0),ROUNDUP(AB137,0))</f>
        <v>#NUM!</v>
      </c>
      <c r="AC138" s="465"/>
      <c r="AD138" s="362"/>
      <c r="AE138" s="362"/>
      <c r="AF138" s="328"/>
      <c r="AG138" s="362"/>
      <c r="AH138" s="362"/>
    </row>
    <row r="139" spans="8:8" ht="15.0">
      <c r="L139" s="321"/>
      <c r="M139" s="508"/>
      <c r="N139" s="546">
        <v>-10.0</v>
      </c>
      <c r="O139" s="512">
        <f>O121</f>
        <v>0.0</v>
      </c>
      <c r="P139" s="328"/>
      <c r="Q139" s="494"/>
      <c r="R139" s="328"/>
      <c r="S139" s="562" t="e">
        <f>IF(Y136&lt;1,-1*S142,S142)</f>
        <v>#NUM!</v>
      </c>
      <c r="T139" s="328"/>
      <c r="U139" s="328"/>
      <c r="V139" s="328"/>
      <c r="W139" s="328"/>
      <c r="X139" s="328"/>
      <c r="Y139" s="328"/>
      <c r="Z139" s="328"/>
      <c r="AA139" s="463"/>
      <c r="AB139" s="464"/>
      <c r="AC139" s="465"/>
      <c r="AD139" s="362"/>
      <c r="AE139" s="362"/>
      <c r="AF139" s="328"/>
      <c r="AG139" s="362"/>
      <c r="AH139" s="362"/>
    </row>
    <row r="140" spans="8:8" ht="15.0">
      <c r="L140" s="321"/>
      <c r="M140" s="508"/>
      <c r="N140" s="546">
        <v>-20.0</v>
      </c>
      <c r="O140" s="512">
        <f>O122</f>
        <v>0.0</v>
      </c>
      <c r="P140" s="362"/>
      <c r="Q140" s="548" t="s">
        <v>133</v>
      </c>
      <c r="R140" s="433" t="s">
        <v>401</v>
      </c>
      <c r="S140" s="433" t="s">
        <v>402</v>
      </c>
      <c r="T140" s="433"/>
      <c r="U140" s="433" t="s">
        <v>14</v>
      </c>
      <c r="V140" s="433" t="s">
        <v>403</v>
      </c>
      <c r="W140" s="433" t="s">
        <v>15</v>
      </c>
      <c r="X140" s="433" t="s">
        <v>19</v>
      </c>
      <c r="Y140" s="328"/>
      <c r="Z140" s="328"/>
      <c r="AA140" s="459" t="s">
        <v>19</v>
      </c>
      <c r="AB140" s="464" t="e">
        <f>IF(AA136&lt;0.08,AC142,AB141)</f>
        <v>#NUM!</v>
      </c>
      <c r="AC140" s="465" t="e">
        <f>IF(AB136&lt;0.08,AC142,AC141)</f>
        <v>#NUM!</v>
      </c>
      <c r="AD140" s="362"/>
      <c r="AE140" s="362"/>
      <c r="AF140" s="328"/>
      <c r="AG140" s="362"/>
      <c r="AH140" s="362"/>
    </row>
    <row r="141" spans="8:8" ht="15.0">
      <c r="L141" s="321"/>
      <c r="M141" s="508"/>
      <c r="N141" s="549">
        <v>-30.0</v>
      </c>
      <c r="O141" s="530">
        <f>O123</f>
        <v>0.0</v>
      </c>
      <c r="P141" s="433" t="s">
        <v>0</v>
      </c>
      <c r="Q141" s="548"/>
      <c r="R141" s="537" t="e">
        <f>100*(V137-O129)*(V137-P129)/((N129-O129)*(N129-P129))+95*(V137-N129)*(V137-P129)/((O129-N129)*(O129-P129))+90*(V137-N129)*(V137-O129)/((P129-N129)*(P129-O129))</f>
        <v>#NUM!</v>
      </c>
      <c r="S141" s="537" t="e">
        <f>S131+Y133</f>
        <v>#NUM!</v>
      </c>
      <c r="T141" s="433" t="s">
        <v>7</v>
      </c>
      <c r="U141" s="433" t="e">
        <f>AD130</f>
        <v>#NUM!</v>
      </c>
      <c r="V141" s="433"/>
      <c r="W141" s="501"/>
      <c r="X141" s="433"/>
      <c r="Y141" s="328"/>
      <c r="Z141" s="328"/>
      <c r="AA141" s="479"/>
      <c r="AB141" s="480" t="e">
        <f>IF(AA136&gt;(20/72)-0.08,AC142,AC142-1)</f>
        <v>#NUM!</v>
      </c>
      <c r="AC141" s="481" t="e">
        <f>IF(AB136&gt;(20/72)-0.08,AC142,AC142-1)</f>
        <v>#NUM!</v>
      </c>
      <c r="AD141" s="362"/>
      <c r="AE141" s="362"/>
      <c r="AF141" s="328"/>
      <c r="AG141" s="362"/>
      <c r="AH141" s="362"/>
    </row>
    <row r="142" spans="8:8" ht="15.0">
      <c r="L142" s="321"/>
      <c r="M142" s="508"/>
      <c r="N142" s="535">
        <f>$B$2</f>
        <v>5.68</v>
      </c>
      <c r="O142" s="575">
        <f>O138*(N142-N139)*(N142-N140)*(N142-N141)/((N138-N139)*(N138-N140)*(N138-N141))+O139*(N142-N138)*(N142-N140)*(N142-N141)/((N139-N138)*(N139-N140)*(N139-N141))+O140*(N142-N138)*(N142-N139)*(N142-N141)/((N140-N138)*(N140-N139)*(N140-N141))+O141*(N142-N138)*(N142-N139)*(N142-N140)/((N141-N138)*(N141-N139)*(N141-N140))</f>
        <v>0.0</v>
      </c>
      <c r="P142" s="433" t="s">
        <v>1</v>
      </c>
      <c r="Q142" s="548"/>
      <c r="R142" s="537" t="e">
        <f>100*(V138-O129)*(V138-P129)/((N129-O129)*(N129-P129))+95*(V138-N129)*(V138-P129)/((O129-N129)*(O129-P129))+90*(V138-N129)*(V138-O129)/((P129-N129)*(P129-O129))</f>
        <v>#NUM!</v>
      </c>
      <c r="S142" s="537" t="e">
        <f>S132+Y133</f>
        <v>#NUM!</v>
      </c>
      <c r="T142" s="433" t="s">
        <v>13</v>
      </c>
      <c r="U142" s="433" t="e">
        <f>AD131</f>
        <v>#NUM!</v>
      </c>
      <c r="V142" s="433"/>
      <c r="W142" s="501"/>
      <c r="X142" s="433"/>
      <c r="Y142" s="328"/>
      <c r="Z142" s="328"/>
      <c r="AA142" s="482" t="s">
        <v>433</v>
      </c>
      <c r="AB142" s="483"/>
      <c r="AC142" s="484">
        <v>30.0</v>
      </c>
      <c r="AD142" s="362"/>
      <c r="AE142" s="362"/>
      <c r="AF142" s="328"/>
      <c r="AG142" s="362"/>
      <c r="AH142" s="362"/>
    </row>
    <row r="143" spans="8:8">
      <c r="L143" s="321"/>
      <c r="M143" s="328"/>
      <c r="N143" s="328"/>
      <c r="O143" s="328"/>
      <c r="P143" s="328"/>
      <c r="Q143" s="494"/>
      <c r="R143" s="328"/>
      <c r="S143" s="328"/>
      <c r="T143" s="328"/>
      <c r="U143" s="328"/>
      <c r="V143" s="328"/>
      <c r="W143" s="328"/>
      <c r="X143" s="328"/>
      <c r="Y143" s="328"/>
      <c r="Z143" s="362"/>
      <c r="AA143" s="362"/>
      <c r="AB143" s="328"/>
      <c r="AC143" s="328"/>
      <c r="AD143" s="362"/>
      <c r="AE143" s="362"/>
      <c r="AF143" s="328"/>
      <c r="AG143" s="362"/>
      <c r="AH143" s="362"/>
    </row>
    <row r="144" spans="8:8">
      <c r="L144" s="321"/>
      <c r="M144" s="576"/>
      <c r="N144" s="576"/>
      <c r="O144" s="576"/>
      <c r="P144" s="576"/>
      <c r="Q144" s="577"/>
      <c r="R144" s="576"/>
      <c r="S144" s="576"/>
      <c r="T144" s="576"/>
      <c r="U144" s="576"/>
      <c r="V144" s="576"/>
      <c r="W144" s="576"/>
      <c r="X144" s="576"/>
      <c r="Y144" s="576"/>
      <c r="Z144" s="576"/>
      <c r="AA144" s="576"/>
      <c r="AB144" s="576"/>
      <c r="AC144" s="576"/>
      <c r="AD144" s="576"/>
      <c r="AE144" s="321"/>
      <c r="AF144" s="321"/>
      <c r="AG144" s="321"/>
      <c r="AH144" s="321"/>
    </row>
  </sheetData>
  <mergeCells count="31">
    <mergeCell ref="AA142:AB142"/>
    <mergeCell ref="AA44:AB44"/>
    <mergeCell ref="AI1:AJ1"/>
    <mergeCell ref="AK1:AL1"/>
    <mergeCell ref="AA124:AB124"/>
    <mergeCell ref="AG1:AH1"/>
    <mergeCell ref="AA128:AB128"/>
    <mergeCell ref="AA110:AB110"/>
    <mergeCell ref="M138:M142"/>
    <mergeCell ref="A43:A44"/>
    <mergeCell ref="H25:I25"/>
    <mergeCell ref="A10:B11"/>
    <mergeCell ref="M115:M119"/>
    <mergeCell ref="A12:B13"/>
    <mergeCell ref="M61:M65"/>
    <mergeCell ref="A16:A17"/>
    <mergeCell ref="AA62:AB62"/>
    <mergeCell ref="B16:B17"/>
    <mergeCell ref="A23:A24"/>
    <mergeCell ref="M43:M47"/>
    <mergeCell ref="B23:B24"/>
    <mergeCell ref="A54:A55"/>
    <mergeCell ref="M48:M52"/>
    <mergeCell ref="M133:M137"/>
    <mergeCell ref="M120:M124"/>
    <mergeCell ref="A45:A46"/>
    <mergeCell ref="B43:D44"/>
    <mergeCell ref="M66:M70"/>
    <mergeCell ref="A48:A49"/>
    <mergeCell ref="A51:A52"/>
    <mergeCell ref="F48:F49"/>
  </mergeCells>
  <pageMargins left="0.7" right="0.7" top="0.75" bottom="0.75" header="0.3" footer="0.3"/>
</worksheet>
</file>

<file path=xl/worksheets/sheet6.xml><?xml version="1.0" encoding="utf-8"?>
<worksheet xmlns:r="http://schemas.openxmlformats.org/officeDocument/2006/relationships" xmlns="http://schemas.openxmlformats.org/spreadsheetml/2006/main">
  <dimension ref="A1:BH463"/>
  <sheetViews>
    <sheetView workbookViewId="0" showGridLines="0" showRowColHeaders="0" zoomScale="85">
      <selection activeCell="J2" sqref="J2"/>
    </sheetView>
  </sheetViews>
  <sheetFormatPr defaultRowHeight="12.75" customHeight="1" defaultColWidth="10"/>
  <cols>
    <col min="1" max="1" customWidth="1" width="11.425781" style="323"/>
    <col min="2" max="4" customWidth="1" width="7.7109375" style="323"/>
    <col min="5" max="5" customWidth="1" width="13.5703125" style="323"/>
    <col min="6" max="6" customWidth="1" width="18.710938" style="323"/>
    <col min="7" max="7" customWidth="1" width="9.7109375" style="323"/>
    <col min="8" max="8" customWidth="1" width="7.8554688" style="323"/>
    <col min="9" max="9" customWidth="1" width="17.710938" style="323"/>
    <col min="10" max="10" customWidth="1" width="10.7109375" style="323"/>
    <col min="11" max="11" customWidth="1" width="11.425781" style="323"/>
    <col min="12" max="12" customWidth="1" width="10.5703125" style="323"/>
    <col min="13" max="13" customWidth="1" width="19.570312" style="323"/>
    <col min="14" max="16" customWidth="1" width="10.7109375" style="323"/>
    <col min="17" max="17" customWidth="1" width="12.7109375" style="323"/>
    <col min="18" max="18" customWidth="1" width="12.425781" style="323"/>
    <col min="19" max="20" customWidth="1" width="12.7109375" style="323"/>
    <col min="21" max="21" customWidth="1" width="12.7109375" style="323"/>
    <col min="22" max="22" customWidth="1" width="11.7109375" style="323"/>
    <col min="23" max="23" customWidth="1" width="12.0" style="323"/>
    <col min="24" max="24" customWidth="1" width="9.5703125" style="323"/>
    <col min="25" max="16384" customWidth="0" width="9.140625" style="323"/>
  </cols>
  <sheetData>
    <row r="1" spans="8:8" ht="13.5" customHeight="1">
      <c r="A1" s="322"/>
      <c r="B1" s="322"/>
      <c r="C1" s="322"/>
      <c r="F1" s="322"/>
      <c r="G1" s="322"/>
      <c r="H1" s="322"/>
      <c r="I1" s="322"/>
      <c r="J1" s="322"/>
      <c r="K1" s="324" t="s">
        <v>111</v>
      </c>
      <c r="L1" s="322"/>
      <c r="M1" s="322"/>
      <c r="N1" s="578"/>
      <c r="T1" s="326" t="s">
        <v>108</v>
      </c>
      <c r="U1" s="326"/>
      <c r="V1" s="326" t="s">
        <v>107</v>
      </c>
      <c r="W1" s="326"/>
      <c r="X1" s="327" t="s">
        <v>109</v>
      </c>
      <c r="Y1" s="327"/>
      <c r="Z1" s="323" t="s">
        <v>76</v>
      </c>
      <c r="AA1" s="579">
        <f>SIN(RADIANS(Calculadora!B4+1E-20))</f>
        <v>0.8650638772571638</v>
      </c>
      <c r="AB1" s="578"/>
      <c r="AC1" s="322" t="s">
        <v>80</v>
      </c>
      <c r="AD1" s="322">
        <f>Calculadora!$B$3*COS(RADIANS(Calculadora!B4))</f>
        <v>2.5083086346420895</v>
      </c>
      <c r="AH1" s="580" t="s">
        <v>121</v>
      </c>
      <c r="AI1" s="581" t="s">
        <v>122</v>
      </c>
      <c r="AJ1" s="581" t="s">
        <v>73</v>
      </c>
      <c r="AK1" s="582" t="s">
        <v>25</v>
      </c>
      <c r="AQ1" s="583"/>
      <c r="AR1" s="583"/>
      <c r="AS1" s="323" t="s">
        <v>5</v>
      </c>
      <c r="AT1" s="323">
        <f>COS(RADIANS(Calculadora!B4))</f>
        <v>0.5016617269284179</v>
      </c>
    </row>
    <row r="2" spans="8:8" ht="13.5" customHeight="1">
      <c r="A2" s="336" t="s">
        <v>6</v>
      </c>
      <c r="B2" s="337" t="s">
        <v>86</v>
      </c>
      <c r="C2" s="337" t="s">
        <v>77</v>
      </c>
      <c r="F2" s="338" t="s">
        <v>77</v>
      </c>
      <c r="G2" s="339">
        <f>M2*$AA$1*Calculadora!$B$3</f>
        <v>2.972902260662867</v>
      </c>
      <c r="H2" s="322"/>
      <c r="I2" s="338" t="s">
        <v>93</v>
      </c>
      <c r="J2" s="578"/>
      <c r="K2" s="291">
        <f>C3*(M8-B4)*(M8-B5)*(M8-B6)/((B3-B4)*(B3-B5)*(B3-B6))+C4*(M8-B3)*(M8-B5)*(M8-B6)/((B4-B3)*(B4-B5)*(B4-B6))+C5*(M8-B3)*(M8-B4)*(M8-B6)/((B5-B3)*(B5-B4)*(B5-B6))+C6*(M8-B3)*(M8-B4)*(M8-B5)/((B6-B3)*(B6-B4)*(B6-B5))</f>
        <v>0.7016140884425699</v>
      </c>
      <c r="L2" s="584" t="s">
        <v>77</v>
      </c>
      <c r="M2" s="585">
        <f>IF(M8&gt;B6,K2,K5)</f>
        <v>0.6873254886307293</v>
      </c>
      <c r="N2" s="341"/>
      <c r="O2" s="342" t="s">
        <v>14</v>
      </c>
      <c r="T2" s="343">
        <v>0.7</v>
      </c>
      <c r="U2" s="338">
        <v>24.75</v>
      </c>
      <c r="V2" s="343">
        <v>0.7</v>
      </c>
      <c r="W2" s="344">
        <v>24.75</v>
      </c>
      <c r="X2" s="345">
        <v>0.7</v>
      </c>
      <c r="Y2" s="346">
        <v>24.75</v>
      </c>
      <c r="Z2" s="323" t="s">
        <v>75</v>
      </c>
      <c r="AA2" s="579">
        <f>COS(RADIANS(Calculadora!B4+1E-20))</f>
        <v>0.5016617269284179</v>
      </c>
      <c r="AB2" s="578"/>
      <c r="AC2" s="322" t="s">
        <v>81</v>
      </c>
      <c r="AD2" s="322">
        <f>Calculadora!$B$3*SIN(RADIANS(Calculadora!B4))</f>
        <v>4.325319386285819</v>
      </c>
      <c r="AH2" s="586">
        <f>Calculadora!$B$7*100</f>
        <v>100.0</v>
      </c>
      <c r="AI2" s="581">
        <f>(100-AH2)*0.85</f>
        <v>0.0</v>
      </c>
      <c r="AJ2" s="581">
        <f>(100-AH2)*0.8</f>
        <v>0.0</v>
      </c>
      <c r="AK2" s="582">
        <f>(100-AH2)*0.8</f>
        <v>0.0</v>
      </c>
      <c r="AQ2" s="583"/>
      <c r="AR2" s="587"/>
    </row>
    <row r="3" spans="8:8" customHeight="1">
      <c r="A3" s="350">
        <v>1.025</v>
      </c>
      <c r="B3" s="351">
        <v>314.35</v>
      </c>
      <c r="C3" s="351">
        <v>1.1808</v>
      </c>
      <c r="F3" s="352" t="s">
        <v>87</v>
      </c>
      <c r="G3" s="353">
        <f>M2*$AA$1*Calculadora!$B$3</f>
        <v>2.972902260662867</v>
      </c>
      <c r="H3" s="322"/>
      <c r="I3" s="352"/>
      <c r="J3" s="354"/>
      <c r="K3" s="588"/>
      <c r="L3" s="584" t="s">
        <v>7</v>
      </c>
      <c r="M3" s="355">
        <f>K15*POWER(J15,(B4-M8))</f>
        <v>1.0885271214765997</v>
      </c>
      <c r="N3" s="341"/>
      <c r="O3" s="356">
        <f>B4</f>
        <v>305.95</v>
      </c>
      <c r="P3" s="357">
        <f>B6</f>
        <v>272.48</v>
      </c>
      <c r="Q3" s="356">
        <f>B8</f>
        <v>240.45</v>
      </c>
      <c r="R3" s="358">
        <f>K11</f>
        <v>262.9141007654028</v>
      </c>
      <c r="T3" s="343">
        <v>0.75</v>
      </c>
      <c r="U3" s="359">
        <v>21.0</v>
      </c>
      <c r="V3" s="343">
        <v>0.75</v>
      </c>
      <c r="W3" s="360">
        <v>20.75</v>
      </c>
      <c r="X3" s="345">
        <v>0.75</v>
      </c>
      <c r="Y3" s="361">
        <v>21.0</v>
      </c>
      <c r="AB3" s="578"/>
      <c r="AC3" s="322"/>
      <c r="AD3" s="322"/>
      <c r="AH3" s="589"/>
      <c r="AI3" s="590">
        <f>Calculadora!$B$1+AI2</f>
        <v>261.88</v>
      </c>
      <c r="AJ3" s="591">
        <f>Calculadora!$B$1+AJ2</f>
        <v>261.88</v>
      </c>
      <c r="AK3" s="592">
        <f>Calculadora!$B$1+AK2</f>
        <v>261.88</v>
      </c>
    </row>
    <row r="4" spans="8:8" customHeight="1">
      <c r="A4" s="364">
        <v>1.0</v>
      </c>
      <c r="B4" s="365">
        <v>305.95</v>
      </c>
      <c r="C4" s="365">
        <v>1.0785</v>
      </c>
      <c r="F4" s="366" t="s">
        <v>88</v>
      </c>
      <c r="G4" s="367">
        <f>IF(G10&gt;0,G3*M5,G3*M6)</f>
        <v>2.9594321682572864</v>
      </c>
      <c r="H4" s="322"/>
      <c r="I4" s="366" t="s">
        <v>94</v>
      </c>
      <c r="J4" s="368">
        <f>M2*Calculadora!$B$3*$AA$2</f>
        <v>1.7240244579420516</v>
      </c>
      <c r="K4" s="369" t="s">
        <v>112</v>
      </c>
      <c r="L4" s="584" t="s">
        <v>8</v>
      </c>
      <c r="M4" s="355">
        <f>K16*POWER(J16,(B4-M8))</f>
        <v>1.0191599496967834</v>
      </c>
      <c r="N4" s="341"/>
      <c r="O4" s="370">
        <v>2.8</v>
      </c>
      <c r="P4" s="371">
        <v>2.4</v>
      </c>
      <c r="Q4" s="357">
        <v>2.0</v>
      </c>
      <c r="R4" s="372">
        <f>O4*(R3-P3)*(R3-Q3)/((O3-P3)*(O3-Q3))+P4*(R3-O3)*(R3-Q3)/((P3-O3)*(P3-Q3))+Q4*(R3-O3)*(R3-P3)/((Q3-O3)*(Q3-P3))</f>
        <v>2.282300975118456</v>
      </c>
      <c r="T4" s="343">
        <v>0.8</v>
      </c>
      <c r="U4" s="359">
        <v>16.5</v>
      </c>
      <c r="V4" s="343">
        <v>0.8</v>
      </c>
      <c r="W4" s="360">
        <v>16.0</v>
      </c>
      <c r="X4" s="345">
        <v>0.8</v>
      </c>
      <c r="Y4" s="361">
        <v>16.0</v>
      </c>
      <c r="AB4" s="578"/>
      <c r="AC4" s="322"/>
      <c r="AD4" s="322"/>
    </row>
    <row r="5" spans="8:8" customHeight="1">
      <c r="A5" s="378">
        <v>0.95</v>
      </c>
      <c r="B5" s="359">
        <v>289.17</v>
      </c>
      <c r="C5" s="359">
        <v>0.9044</v>
      </c>
      <c r="F5" s="366" t="s">
        <v>89</v>
      </c>
      <c r="G5" s="367">
        <f>G4*J8</f>
        <v>2.9256253099535945</v>
      </c>
      <c r="H5" s="593">
        <f>(G5/(Calculadora!$B$3*$AA$1))*Calculadora!$B$5/4</f>
        <v>0.0</v>
      </c>
      <c r="I5" s="366"/>
      <c r="J5" s="368"/>
      <c r="K5" s="291">
        <f>C6*(M8-B7)*(M8-B8)/((B6-B7)*(B6-B8))+C7*(M8-B6)*(M8-B8)/((B7-B6)*(B7-B8))+C8*(M8-B6)*(M8-B7)/((B8-B6)*(B8-B7))</f>
        <v>0.6873254886307293</v>
      </c>
      <c r="L5" s="584" t="s">
        <v>9</v>
      </c>
      <c r="M5" s="355">
        <f>IF((M8&gt;0),((100+(G10/-I15))/100))</f>
        <v>0.9954690429672663</v>
      </c>
      <c r="N5" s="379"/>
      <c r="O5" s="380">
        <v>3.1</v>
      </c>
      <c r="P5" s="381">
        <v>2.8</v>
      </c>
      <c r="Q5" s="382">
        <v>2.5</v>
      </c>
      <c r="R5" s="372">
        <f>O5*(R3-P3)*(R3-Q3)/((O3-P3)*(O3-Q3))+P5*(R3-O3)*(R3-Q3)/((P3-O3)*(P3-Q3))+Q5*(R3-O3)*(R3-P3)/((Q3-O3)*(Q3-P3))</f>
        <v>2.71172573133884</v>
      </c>
      <c r="T5" s="383">
        <v>0.82</v>
      </c>
      <c r="U5" s="384">
        <v>15.2</v>
      </c>
      <c r="V5" s="383">
        <v>0.82</v>
      </c>
      <c r="W5" s="360">
        <v>14.25</v>
      </c>
      <c r="X5" s="383">
        <v>0.82</v>
      </c>
      <c r="Y5" s="384">
        <v>15.0</v>
      </c>
      <c r="AB5" s="578"/>
      <c r="AC5" s="322"/>
      <c r="AD5" s="322"/>
    </row>
    <row r="6" spans="8:8" customHeight="1">
      <c r="A6" s="378">
        <v>0.9</v>
      </c>
      <c r="B6" s="365">
        <v>272.48</v>
      </c>
      <c r="C6" s="365">
        <v>0.7691</v>
      </c>
      <c r="F6" s="388" t="s">
        <v>90</v>
      </c>
      <c r="G6" s="389">
        <f>G4/J9</f>
        <v>3.000125861467831</v>
      </c>
      <c r="H6" s="593">
        <f>(G6/(Calculadora!$B$3*$AA$1))*Calculadora!$B$5/4</f>
        <v>0.0</v>
      </c>
      <c r="I6" s="366" t="s">
        <v>97</v>
      </c>
      <c r="J6" s="368">
        <f>$AA$2*Calculadora!$B$3*M2*0.98*(1-(G10*0.016))</f>
        <v>1.661589429402405</v>
      </c>
      <c r="K6" s="588"/>
      <c r="L6" s="584" t="s">
        <v>10</v>
      </c>
      <c r="M6" s="355">
        <f>IF((M8&gt;0),((100+(G10/-I16))/100))</f>
        <v>0.9961865584212596</v>
      </c>
      <c r="N6" s="341"/>
      <c r="T6" s="343">
        <v>0.85</v>
      </c>
      <c r="U6" s="359">
        <v>13.5</v>
      </c>
      <c r="V6" s="343">
        <v>0.85</v>
      </c>
      <c r="W6" s="360">
        <v>11.65</v>
      </c>
      <c r="X6" s="345">
        <v>0.85</v>
      </c>
      <c r="Y6" s="361">
        <v>12.0</v>
      </c>
      <c r="AB6" s="578"/>
      <c r="AC6" s="322"/>
      <c r="AD6" s="322"/>
    </row>
    <row r="7" spans="8:8" customHeight="1">
      <c r="A7" s="378">
        <v>0.85</v>
      </c>
      <c r="B7" s="359">
        <v>256.11</v>
      </c>
      <c r="C7" s="359">
        <v>0.6465</v>
      </c>
      <c r="F7" s="322"/>
      <c r="G7" s="322"/>
      <c r="H7" s="322"/>
      <c r="I7" s="366" t="s">
        <v>98</v>
      </c>
      <c r="J7" s="368">
        <f>$AA$2*Calculadora!$B$3*M2*1.25*(1-(G10*0.016))</f>
        <v>2.119374272196945</v>
      </c>
      <c r="K7" s="392" t="s">
        <v>350</v>
      </c>
      <c r="L7" s="584" t="s">
        <v>105</v>
      </c>
      <c r="M7" s="584">
        <f>M2*Calculadora!$B$5/4</f>
        <v>0.0</v>
      </c>
      <c r="N7" s="341"/>
      <c r="T7" s="343">
        <v>0.9</v>
      </c>
      <c r="U7" s="359">
        <v>8.6</v>
      </c>
      <c r="V7" s="343">
        <v>0.9</v>
      </c>
      <c r="W7" s="360">
        <v>7.5</v>
      </c>
      <c r="X7" s="345">
        <v>0.9</v>
      </c>
      <c r="Y7" s="361">
        <v>8.0</v>
      </c>
      <c r="AB7" s="578"/>
      <c r="AC7" s="322"/>
      <c r="AD7" s="322"/>
    </row>
    <row r="8" spans="8:8" customHeight="1">
      <c r="A8" s="378">
        <v>0.8</v>
      </c>
      <c r="B8" s="395">
        <v>240.45</v>
      </c>
      <c r="C8" s="395">
        <v>0.5488</v>
      </c>
      <c r="E8" s="322"/>
      <c r="F8" s="584" t="s">
        <v>91</v>
      </c>
      <c r="G8" s="322"/>
      <c r="H8" s="322"/>
      <c r="I8" s="366" t="s">
        <v>99</v>
      </c>
      <c r="J8" s="368">
        <f>(100+(J6*2.75/-4))/100</f>
        <v>0.9885765726728585</v>
      </c>
      <c r="K8" s="578"/>
      <c r="L8" s="584" t="s">
        <v>106</v>
      </c>
      <c r="M8" s="584">
        <f>$U$13</f>
        <v>261.88</v>
      </c>
      <c r="T8" s="343">
        <v>0.92</v>
      </c>
      <c r="U8" s="359">
        <v>6.4</v>
      </c>
      <c r="V8" s="343">
        <v>0.92</v>
      </c>
      <c r="W8" s="360">
        <v>5.9</v>
      </c>
      <c r="X8" s="345">
        <v>0.92</v>
      </c>
      <c r="Y8" s="361">
        <v>8.5</v>
      </c>
      <c r="AB8" s="578"/>
      <c r="AC8" s="322"/>
      <c r="AD8" s="322"/>
    </row>
    <row r="9" spans="8:8" customHeight="1">
      <c r="E9" s="322"/>
      <c r="F9" s="352"/>
      <c r="G9" s="354"/>
      <c r="H9" s="322"/>
      <c r="I9" s="388" t="s">
        <v>100</v>
      </c>
      <c r="J9" s="402">
        <f>(100+(J7*4/-6.25))/100</f>
        <v>0.9864360046579396</v>
      </c>
      <c r="K9" s="578"/>
      <c r="L9" s="578"/>
      <c r="M9" s="322"/>
      <c r="T9" s="343">
        <v>0.95</v>
      </c>
      <c r="U9" s="359">
        <v>4.0</v>
      </c>
      <c r="V9" s="343">
        <v>0.95</v>
      </c>
      <c r="W9" s="360">
        <v>3.85</v>
      </c>
      <c r="X9" s="345">
        <v>0.95</v>
      </c>
      <c r="Y9" s="361">
        <v>4.0</v>
      </c>
      <c r="AB9" s="578"/>
      <c r="AC9" s="322"/>
      <c r="AD9" s="322"/>
    </row>
    <row r="10" spans="8:8" customHeight="1">
      <c r="E10" s="322"/>
      <c r="F10" s="366" t="s">
        <v>92</v>
      </c>
      <c r="G10" s="368">
        <f>IF(Calculadora!$B$2&gt;0,Calculadora!$B$2*M3,Calculadora!$B$2*M4)</f>
        <v>1.0341007654027696</v>
      </c>
      <c r="H10" s="322"/>
      <c r="I10" s="578"/>
      <c r="J10" s="578"/>
      <c r="K10" s="407"/>
      <c r="L10" s="578"/>
      <c r="M10" s="322"/>
      <c r="T10" s="343">
        <v>0.97</v>
      </c>
      <c r="U10" s="359">
        <v>2.35</v>
      </c>
      <c r="V10" s="343">
        <v>0.97</v>
      </c>
      <c r="W10" s="360">
        <v>2.1</v>
      </c>
      <c r="X10" s="345">
        <v>0.97</v>
      </c>
      <c r="Y10" s="361">
        <v>4.5</v>
      </c>
      <c r="AB10" s="578"/>
      <c r="AC10" s="322"/>
      <c r="AD10" s="322"/>
    </row>
    <row r="11" spans="8:8" customHeight="1">
      <c r="A11" s="412" t="s">
        <v>7</v>
      </c>
      <c r="B11" s="413">
        <v>0.01</v>
      </c>
      <c r="C11" s="414">
        <v>0.672</v>
      </c>
      <c r="D11" s="322"/>
      <c r="E11" s="322"/>
      <c r="F11" s="388"/>
      <c r="G11" s="402"/>
      <c r="H11" s="322"/>
      <c r="I11" s="352" t="s">
        <v>103</v>
      </c>
      <c r="J11" s="415">
        <f>M8+G10-J6</f>
        <v>261.2525113360006</v>
      </c>
      <c r="K11" s="416">
        <f>M8+G10</f>
        <v>262.9141007654028</v>
      </c>
      <c r="L11" s="456">
        <f>C4*(K11-B5)*(K11-B6)*(K11-B7)*(K11-B8)/((B4-B5)*(B4-B6)*(B4-B7)*(B4-B8))+C5*(K11-B4)*(K11-B6)*(K11-B7)*(K11-B8)/((B5-B4)*(B5-B6)*(B5-B7)*(B5-B8))+C6*(K11-B4)*(K11-B5)*(K11-B7)*(K11-B8)/((B6-B4)*(B6-B5)*(B6-B7)*(B6-B8))+C7*(K11-B4)*(K11-B5)*(K11-B6)*(K11-B8)/((B7-B4)*(B7-B5)*(B7-B6)*(B7-B8))+C8*(K11-B4)*(K11-B5)*(K11-B6)*(K11-B7)/((B8-B4)*(B8-B5)*(B8-B6)*(B8-B7))</f>
        <v>0.6963507597775384</v>
      </c>
      <c r="O11" s="412" t="s">
        <v>13</v>
      </c>
      <c r="P11" s="413">
        <v>-0.01</v>
      </c>
      <c r="Q11" s="414">
        <v>0.612</v>
      </c>
      <c r="T11" s="343">
        <v>0.98</v>
      </c>
      <c r="U11" s="359">
        <v>2.0</v>
      </c>
      <c r="V11" s="343">
        <v>0.98</v>
      </c>
      <c r="W11" s="360">
        <v>1.5</v>
      </c>
      <c r="X11" s="345">
        <v>0.98</v>
      </c>
      <c r="Y11" s="361">
        <v>3.75</v>
      </c>
      <c r="AB11" s="578"/>
      <c r="AC11" s="322"/>
      <c r="AD11" s="322"/>
    </row>
    <row r="12" spans="8:8" ht="13.5" customHeight="1">
      <c r="A12" s="412" t="s">
        <v>7</v>
      </c>
      <c r="B12" s="413">
        <v>5.0</v>
      </c>
      <c r="C12" s="414">
        <v>0.678</v>
      </c>
      <c r="D12" s="322"/>
      <c r="E12" s="578"/>
      <c r="F12" s="422"/>
      <c r="H12" s="322"/>
      <c r="I12" s="388" t="s">
        <v>104</v>
      </c>
      <c r="J12" s="423">
        <f>M8+G10+J7</f>
        <v>265.03347503759994</v>
      </c>
      <c r="O12" s="412" t="s">
        <v>13</v>
      </c>
      <c r="P12" s="413">
        <v>-10.0</v>
      </c>
      <c r="Q12" s="414">
        <v>0.596</v>
      </c>
      <c r="T12" s="424">
        <v>1.0</v>
      </c>
      <c r="U12" s="425">
        <v>0.0</v>
      </c>
      <c r="V12" s="343">
        <v>1.0</v>
      </c>
      <c r="W12" s="426">
        <v>0.0</v>
      </c>
      <c r="X12" s="345">
        <v>1.0</v>
      </c>
      <c r="Y12" s="427">
        <v>0.0</v>
      </c>
      <c r="AB12" s="578"/>
      <c r="AC12" s="322"/>
      <c r="AD12" s="322"/>
    </row>
    <row r="13" spans="8:8" ht="13.5" customHeight="1">
      <c r="A13" s="412" t="s">
        <v>7</v>
      </c>
      <c r="B13" s="413">
        <v>10.0</v>
      </c>
      <c r="C13" s="414">
        <v>0.681</v>
      </c>
      <c r="D13" s="322"/>
      <c r="E13" s="578"/>
      <c r="F13" s="422"/>
      <c r="H13" s="322"/>
      <c r="I13" s="322"/>
      <c r="J13" s="322"/>
      <c r="K13" s="322"/>
      <c r="L13" s="578"/>
      <c r="O13" s="412" t="s">
        <v>13</v>
      </c>
      <c r="P13" s="413">
        <v>-20.0</v>
      </c>
      <c r="Q13" s="414">
        <v>0.588</v>
      </c>
      <c r="T13" s="584" t="s">
        <v>110</v>
      </c>
      <c r="U13" s="584">
        <f>LOOKUP(Calculadora!$B$7,T2:T12:U2:U12)+Calculadora!$B$1-ABS(Calculadora!$B$5*0.05)</f>
        <v>261.88</v>
      </c>
      <c r="V13" s="584" t="s">
        <v>110</v>
      </c>
      <c r="W13" s="594">
        <f>Calculadora!$B$1+W129-ABS(Calculadora!$B$5*0.05)</f>
        <v>261.88</v>
      </c>
      <c r="X13" s="595" t="s">
        <v>110</v>
      </c>
      <c r="Y13" s="596">
        <f>LOOKUP(Calculadora!$B$7,X2:X12:Y2:Y12)+Calculadora!$B$1-ABS(Calculadora!$B$5*0.05)</f>
        <v>261.88</v>
      </c>
      <c r="AB13" s="580"/>
      <c r="AD13" s="322"/>
    </row>
    <row r="14" spans="8:8" ht="13.5" customHeight="1">
      <c r="A14" s="439" t="s">
        <v>7</v>
      </c>
      <c r="B14" s="338">
        <v>15.0</v>
      </c>
      <c r="C14" s="354">
        <v>0.695</v>
      </c>
      <c r="D14" s="322"/>
      <c r="E14" s="584" t="s">
        <v>95</v>
      </c>
      <c r="F14" s="584" t="s">
        <v>96</v>
      </c>
      <c r="G14" s="584" t="s">
        <v>77</v>
      </c>
      <c r="H14" s="322"/>
      <c r="I14" s="584" t="s">
        <v>14</v>
      </c>
      <c r="J14" s="584" t="s">
        <v>78</v>
      </c>
      <c r="K14" s="584" t="s">
        <v>15</v>
      </c>
      <c r="L14" s="322"/>
      <c r="M14" s="440" t="s">
        <v>2</v>
      </c>
      <c r="O14" s="412" t="s">
        <v>13</v>
      </c>
      <c r="P14" s="338">
        <v>-30.0</v>
      </c>
      <c r="Q14" s="354">
        <v>0.569</v>
      </c>
      <c r="R14" s="322"/>
      <c r="T14" s="322"/>
      <c r="U14" s="322"/>
      <c r="V14" s="322"/>
      <c r="W14" s="322"/>
      <c r="X14" s="322"/>
      <c r="Y14" s="322"/>
      <c r="Z14" s="322"/>
      <c r="AB14" s="580"/>
      <c r="AD14" s="322"/>
    </row>
    <row r="15" spans="8:8" customHeight="1">
      <c r="A15" s="412" t="s">
        <v>7</v>
      </c>
      <c r="B15" s="413">
        <v>20.0</v>
      </c>
      <c r="C15" s="414">
        <v>0.701</v>
      </c>
      <c r="D15" s="444" t="s">
        <v>101</v>
      </c>
      <c r="E15" s="445">
        <f>INDEX(Caliper!$F$291:$F$363,(ROUNDUP(((F15-80)/(20/72))+1,0)),1)</f>
        <v>261.7333333333521</v>
      </c>
      <c r="F15" s="446">
        <f>100*(J11-B5)*(J11-B6)*(J11-B7)*(J11-B8)/((B4-B5)*(B4-B6)*(B4-B7)*(B4-B8))+95*(J11-B4)*(J11-B6)*(J11-B7)*(J11-B8)/((B5-B4)*(B5-B6)*(B5-B7)*(B5-B8))+90*(J11-B4)*(J11-B5)*(J11-B7)*(J11-B8)/((B6-B4)*(B6-B5)*(B6-B7)*(B6-B8))+85*(J11-B4)*(J11-B5)*(J11-B6)*(J11-B8)/((B7-B4)*(B7-B5)*(B7-B6)*(B7-B8))+80*(J11-B4)*(J11-B5)*(J11-B6)*(J11-B7)/((B8-B4)*(B8-B5)*(B8-B6)*(B8-B7))</f>
        <v>86.58802779491961</v>
      </c>
      <c r="G15" s="446">
        <f>G5+H5</f>
        <v>2.92562530995359</v>
      </c>
      <c r="H15" s="447" t="s">
        <v>7</v>
      </c>
      <c r="I15" s="355">
        <f>R4</f>
        <v>2.282300975118456</v>
      </c>
      <c r="J15" s="448">
        <v>1.0109</v>
      </c>
      <c r="K15" s="355">
        <f>C16</f>
        <v>0.6750703483990544</v>
      </c>
      <c r="L15" s="322">
        <f>M7*0.895</f>
        <v>0.0</v>
      </c>
      <c r="M15" s="449">
        <f>G15/0.218</f>
        <v>13.420299586943074</v>
      </c>
      <c r="O15" s="412" t="s">
        <v>13</v>
      </c>
      <c r="P15" s="413">
        <v>-40.0</v>
      </c>
      <c r="Q15" s="414">
        <v>0.558</v>
      </c>
      <c r="R15" s="322"/>
      <c r="T15" s="322"/>
      <c r="U15" s="322"/>
    </row>
    <row r="16" spans="8:8" customHeight="1">
      <c r="A16" s="412" t="s">
        <v>74</v>
      </c>
      <c r="B16" s="413">
        <f>Calculadora!$B$2</f>
        <v>0.95</v>
      </c>
      <c r="C16" s="456">
        <f>C11*(B16-B12)*(B16-B13)*(B16-B14)*(B16-B15)/((B11-B12)*(B11-B13)*(B11-B14)*(B11-B15))+C12*(B16-B11)*(B16-B13)*(B16-B14)*(B16-B15)/((B12-B11)*(B12-B13)*(B12-B14)*(B12-B15))+C13*(B16-B11)*(B16-B12)*(B16-B14)*(B16-B15)/((B13-B11)*(B13-B12)*(B13-B14)*(B13-B15))+C14*(B16-B11)*(B16-B12)*(B16-B13)*(B16-B15)/((B14-B11)*(B14-B12)*(B14-B13)*(B14-B15))+C15*(B16-B11)*(B16-B12)*(B16-B13)*(B16-B14)/((B15-B11)*(B15-B12)*(B15-B13)*(B15-B14))</f>
        <v>0.6750703483990544</v>
      </c>
      <c r="D16" s="584" t="s">
        <v>102</v>
      </c>
      <c r="E16" s="445">
        <f>INDEX(Caliper!$F$291:$F$363,(ROUNDUP(((F16-80)/(20/72))+1,0)),1)</f>
        <v>265.0888888889079</v>
      </c>
      <c r="F16" s="446">
        <f>100*(J12-B5)*(J12-B6)*(J12-B7)*(J12-B8)/((B4-B5)*(B4-B6)*(B4-B7)*(B4-B8))+95*(J12-B4)*(J12-B6)*(J12-B7)*(J12-B8)/((B5-B4)*(B5-B6)*(B5-B7)*(B5-B8))+90*(J12-B4)*(J12-B5)*(J12-B7)*(J12-B8)/((B6-B4)*(B6-B5)*(B6-B7)*(B6-B8))+85*(J12-B4)*(J12-B5)*(J12-B6)*(J12-B8)/((B7-B4)*(B7-B5)*(B7-B6)*(B7-B8))+80*(J12-B4)*(J12-B5)*(J12-B6)*(J12-B7)/((B8-B4)*(B8-B5)*(B8-B6)*(B8-B7))</f>
        <v>87.74413581984116</v>
      </c>
      <c r="G16" s="446">
        <f>G6+H6</f>
        <v>3.00012586146783</v>
      </c>
      <c r="H16" s="584" t="s">
        <v>13</v>
      </c>
      <c r="I16" s="584">
        <f>R5</f>
        <v>2.71172573133884</v>
      </c>
      <c r="J16" s="448">
        <v>1.0115</v>
      </c>
      <c r="K16" s="355">
        <f>Q16</f>
        <v>0.615737641565108</v>
      </c>
      <c r="L16" s="322"/>
      <c r="M16" s="449">
        <f>G16/0.218</f>
        <v>13.762045236090964</v>
      </c>
      <c r="O16" s="412" t="s">
        <v>16</v>
      </c>
      <c r="P16" s="413">
        <f>Calculadora!$B$2</f>
        <v>0.95</v>
      </c>
      <c r="Q16" s="456">
        <f>Q11*(P16-P12)*(P16-P13)*(P16-P14)*(P16-P15)/((P11-P12)*(P11-P13)*(P11-P14)*(P11-P15))+Q12*(P16-P11)*(P16-P13)*(P16-P14)*(P16-P15)/((P12-P11)*(P12-P13)*(P12-P14)*(P12-P15))+Q13*(P16-P11)*(P16-P12)*(P16-P14)*(P16-P15)/((P13-P11)*(P13-P12)*(P13-P14)*(P13-P15))+Q14*(P16-P11)*(P16-P12)*(P16-P13)*(P16-P15)/((P14-P11)*(P14-P12)*(P14-P13)*(P14-P15))+Q15*(P16-P11)*(P16-P12)*(P16-P13)*(P16-P14)/((P15-P11)*(P15-P12)*(P15-P13)*(P15-P14))</f>
        <v>0.615737641565108</v>
      </c>
      <c r="R16" s="322"/>
      <c r="S16" s="322"/>
      <c r="T16" s="322"/>
      <c r="U16" s="322"/>
      <c r="W16" s="580"/>
      <c r="X16" s="580"/>
      <c r="Y16" s="322"/>
      <c r="Z16" s="322"/>
    </row>
    <row r="17" spans="8:8" customHeight="1">
      <c r="A17" s="322"/>
      <c r="B17" s="322"/>
      <c r="C17" s="322"/>
      <c r="D17" s="322"/>
      <c r="E17" s="322"/>
      <c r="F17" s="322"/>
      <c r="G17" s="322"/>
      <c r="H17" s="322"/>
      <c r="I17" s="322"/>
      <c r="J17" s="322"/>
      <c r="K17" s="322"/>
      <c r="L17" s="322"/>
      <c r="M17" s="322"/>
      <c r="N17" s="322"/>
      <c r="O17" s="322"/>
      <c r="P17" s="322"/>
      <c r="Q17" s="322"/>
      <c r="R17" s="322"/>
      <c r="S17" s="322"/>
      <c r="T17" s="322"/>
      <c r="U17" s="578"/>
      <c r="V17" s="580"/>
      <c r="W17" s="580"/>
      <c r="X17" s="580"/>
      <c r="Y17" s="322"/>
      <c r="Z17" s="322"/>
    </row>
    <row r="18" spans="8:8" customHeight="1">
      <c r="A18" s="597"/>
      <c r="B18" s="598"/>
      <c r="C18" s="598"/>
      <c r="D18" s="598"/>
      <c r="E18" s="598"/>
      <c r="F18" s="598"/>
      <c r="G18" s="598"/>
      <c r="H18" s="598"/>
      <c r="I18" s="598"/>
      <c r="J18" s="598"/>
      <c r="K18" s="598"/>
      <c r="L18" s="598"/>
      <c r="M18" s="598"/>
      <c r="N18" s="598"/>
      <c r="O18" s="598"/>
      <c r="P18" s="598"/>
      <c r="Q18" s="598"/>
      <c r="R18" s="598"/>
      <c r="S18" s="598"/>
      <c r="T18" s="598"/>
      <c r="U18" s="598"/>
      <c r="V18" s="598"/>
      <c r="W18" s="598"/>
      <c r="X18" s="598"/>
      <c r="Y18" s="599"/>
      <c r="AG18" s="580"/>
      <c r="AH18" s="580"/>
      <c r="AI18" s="580"/>
      <c r="AJ18" s="580"/>
      <c r="AK18" s="580"/>
      <c r="AL18" s="580"/>
      <c r="AM18" s="580"/>
      <c r="AN18" s="580"/>
      <c r="AO18" s="580"/>
      <c r="AP18" s="580"/>
      <c r="AQ18" s="580"/>
      <c r="AR18" s="580"/>
      <c r="AS18" s="580"/>
      <c r="AT18" s="580"/>
    </row>
    <row r="19" spans="8:8" customHeight="1">
      <c r="A19" s="322"/>
      <c r="B19" s="322"/>
      <c r="C19" s="322"/>
      <c r="D19" s="322"/>
      <c r="E19" s="322"/>
      <c r="F19" s="322"/>
      <c r="G19" s="322"/>
      <c r="H19" s="322"/>
      <c r="I19" s="322"/>
      <c r="J19" s="322"/>
      <c r="K19" s="324" t="s">
        <v>111</v>
      </c>
      <c r="L19" s="322"/>
      <c r="M19" s="322"/>
      <c r="N19" s="322"/>
      <c r="O19" s="322"/>
      <c r="P19" s="322"/>
      <c r="Q19" s="578"/>
      <c r="T19" s="600"/>
      <c r="U19" s="601"/>
      <c r="V19" s="602"/>
      <c r="W19" s="580"/>
      <c r="X19" s="580"/>
      <c r="AG19" s="603"/>
      <c r="AH19" s="603"/>
      <c r="AI19" s="603"/>
      <c r="AJ19" s="603"/>
      <c r="AK19" s="603"/>
      <c r="AL19" s="603"/>
      <c r="AM19" s="603"/>
      <c r="AN19" s="603"/>
      <c r="AO19" s="603"/>
      <c r="AP19" s="603"/>
      <c r="AQ19" s="603"/>
      <c r="AR19" s="603"/>
      <c r="AS19" s="580"/>
      <c r="AT19" s="580"/>
      <c r="AU19" s="580"/>
      <c r="AV19" s="580"/>
      <c r="AW19" s="580"/>
    </row>
    <row r="20" spans="8:8" customHeight="1">
      <c r="A20" s="604" t="s">
        <v>20</v>
      </c>
      <c r="B20" s="605" t="s">
        <v>86</v>
      </c>
      <c r="C20" s="605" t="s">
        <v>77</v>
      </c>
      <c r="F20" s="338" t="s">
        <v>77</v>
      </c>
      <c r="G20" s="322"/>
      <c r="H20" s="322"/>
      <c r="I20" s="584" t="s">
        <v>93</v>
      </c>
      <c r="J20" s="578"/>
      <c r="K20" s="291">
        <f>C21*(M26-B22)*(M26-B23)/((B21-B22)*(B21-B23))+C22*(M26-B21)*(M26-B23)/((B22-B21)*(B22-B23))+C23*(M26-B21)*(M26-B22)/((B23-B21)*(B23-B22))</f>
        <v>1.207965811217508</v>
      </c>
      <c r="L20" s="584" t="s">
        <v>77</v>
      </c>
      <c r="M20" s="585">
        <f>IF(M26&gt;B23,K20,K23)</f>
        <v>1.207965811217508</v>
      </c>
      <c r="N20" s="322"/>
      <c r="O20" s="342" t="s">
        <v>14</v>
      </c>
      <c r="AG20" s="603"/>
      <c r="AH20" s="580"/>
      <c r="AI20" s="603"/>
      <c r="AJ20" s="603"/>
      <c r="AK20" s="603"/>
      <c r="AL20" s="603"/>
      <c r="AM20" s="603"/>
      <c r="AN20" s="603"/>
      <c r="AO20" s="603"/>
      <c r="AP20" s="603"/>
      <c r="AQ20" s="603"/>
      <c r="AR20" s="603"/>
      <c r="AS20" s="606"/>
      <c r="AT20" s="607"/>
      <c r="AU20" s="607"/>
      <c r="AV20" s="607"/>
      <c r="AW20" s="607"/>
    </row>
    <row r="21" spans="8:8" customHeight="1">
      <c r="A21" s="608">
        <v>1.0</v>
      </c>
      <c r="B21" s="337">
        <v>271.0</v>
      </c>
      <c r="C21" s="337">
        <v>1.32</v>
      </c>
      <c r="F21" s="352" t="s">
        <v>87</v>
      </c>
      <c r="G21" s="353">
        <f>M20*$AA$1*Calculadora!$B$3</f>
        <v>5.224837941229563</v>
      </c>
      <c r="H21" s="322"/>
      <c r="I21" s="352"/>
      <c r="J21" s="354"/>
      <c r="L21" s="584" t="s">
        <v>7</v>
      </c>
      <c r="M21" s="355">
        <f>L33*POWER(K33,(B21-M26))</f>
        <v>0.8823807967831366</v>
      </c>
      <c r="N21" s="322"/>
      <c r="O21" s="356">
        <f>B21</f>
        <v>271.0</v>
      </c>
      <c r="P21" s="357">
        <f>B23</f>
        <v>237.0</v>
      </c>
      <c r="Q21" s="356">
        <f>B25</f>
        <v>204.0</v>
      </c>
      <c r="R21" s="358">
        <f>K29</f>
        <v>262.718261756944</v>
      </c>
      <c r="AG21" s="609"/>
      <c r="AH21" s="609"/>
      <c r="AI21" s="609"/>
      <c r="AJ21" s="610"/>
      <c r="AK21" s="610"/>
      <c r="AL21" s="610"/>
      <c r="AM21" s="610"/>
      <c r="AN21" s="610"/>
      <c r="AO21" s="610"/>
      <c r="AP21" s="610"/>
      <c r="AQ21" s="610"/>
      <c r="AR21" s="603"/>
      <c r="AS21" s="606"/>
      <c r="AT21" s="606"/>
      <c r="AU21" s="606"/>
      <c r="AV21" s="606"/>
      <c r="AW21" s="606"/>
    </row>
    <row r="22" spans="8:8" ht="13.5" customHeight="1">
      <c r="A22" s="611">
        <v>0.95</v>
      </c>
      <c r="B22" s="359">
        <v>253.8</v>
      </c>
      <c r="C22" s="359">
        <v>1.1135</v>
      </c>
      <c r="F22" s="366" t="s">
        <v>88</v>
      </c>
      <c r="G22" s="367">
        <f>IF(G28&gt;0,G21*M23,G21*M24)</f>
        <v>5.220404796028559</v>
      </c>
      <c r="H22" s="322"/>
      <c r="I22" s="366" t="s">
        <v>94</v>
      </c>
      <c r="J22" s="368">
        <f>M20*Calculadora!$B$3*$AA$2</f>
        <v>3.0299510746293117</v>
      </c>
      <c r="K22" s="369" t="s">
        <v>112</v>
      </c>
      <c r="L22" s="584" t="s">
        <v>8</v>
      </c>
      <c r="M22" s="355">
        <f>L34*POWER(K34,(B21-M26))</f>
        <v>0.7414213917450494</v>
      </c>
      <c r="N22" s="322"/>
      <c r="O22" s="370">
        <v>10.0</v>
      </c>
      <c r="P22" s="371">
        <v>9.5</v>
      </c>
      <c r="Q22" s="357">
        <v>9.0</v>
      </c>
      <c r="R22" s="372">
        <f>O22*(R21-P21)*(R21-Q21)/((O21-P21)*(O21-Q21))+P22*(R21-O21)*(R21-Q21)/((P21-O21)*(P21-Q21))+Q22*(R21-O21)*(R21-P21)/((Q21-O21)*(Q21-P21))</f>
        <v>9.879626391149449</v>
      </c>
      <c r="AG22" s="580"/>
      <c r="AH22" s="609"/>
      <c r="AI22" s="612"/>
      <c r="AJ22" s="612"/>
      <c r="AK22" s="612"/>
      <c r="AL22" s="612"/>
      <c r="AM22" s="613"/>
      <c r="AN22" s="609"/>
      <c r="AO22" s="612"/>
      <c r="AP22" s="612"/>
      <c r="AQ22" s="609"/>
      <c r="AR22" s="603"/>
      <c r="AS22" s="606"/>
      <c r="AT22" s="606"/>
      <c r="AU22" s="606"/>
      <c r="AV22" s="606"/>
      <c r="AW22" s="606"/>
    </row>
    <row r="23" spans="8:8" customHeight="1">
      <c r="A23" s="611">
        <v>0.9</v>
      </c>
      <c r="B23" s="365">
        <v>237.0</v>
      </c>
      <c r="C23" s="365">
        <v>0.9315</v>
      </c>
      <c r="F23" s="366" t="s">
        <v>89</v>
      </c>
      <c r="G23" s="367">
        <f>G22*J26</f>
        <v>5.113117513712187</v>
      </c>
      <c r="H23" s="593">
        <f>(G23/(Calculadora!$B$3*$AA$1))*Calculadora!$B$5/4</f>
        <v>0.0</v>
      </c>
      <c r="I23" s="366"/>
      <c r="J23" s="368"/>
      <c r="K23" s="291">
        <f>C23*(M26-B24)*(M26-B25)/((B23-B24)*(B23-B25))+C24*(M26-B23)*(M26-B25)/((B24-B23)*(B24-B25))+C25*(M26-B23)*(M26-B24)/((B25-B23)*(B25-B24))</f>
        <v>1.2014370776973602</v>
      </c>
      <c r="L23" s="584" t="s">
        <v>9</v>
      </c>
      <c r="M23" s="355">
        <f>IF((M26&gt;0),((100+(G28/-J33))/100))</f>
        <v>0.9991515248413695</v>
      </c>
      <c r="N23" s="322"/>
      <c r="O23" s="380">
        <v>1.05</v>
      </c>
      <c r="P23" s="381">
        <v>1.55</v>
      </c>
      <c r="Q23" s="382">
        <v>2.15</v>
      </c>
      <c r="R23" s="372">
        <f>O23*(R21-P21)*(R21-Q21)/((O21-P21)*(O21-Q21))+P23*(R21-O21)*(R21-Q21)/((P21-O21)*(P21-Q21))+Q23*(R21-O21)*(R21-P21)/((Q21-O21)*(Q21-P21))</f>
        <v>1.160740324728532</v>
      </c>
      <c r="AG23" s="580"/>
      <c r="AH23" s="609"/>
      <c r="AI23" s="612"/>
      <c r="AJ23" s="612"/>
      <c r="AK23" s="612"/>
      <c r="AL23" s="612"/>
      <c r="AM23" s="612"/>
      <c r="AN23" s="609"/>
      <c r="AO23" s="612"/>
      <c r="AP23" s="612"/>
      <c r="AQ23" s="609"/>
      <c r="AR23" s="603"/>
      <c r="AS23" s="606"/>
      <c r="AT23" s="607"/>
      <c r="AU23" s="614"/>
      <c r="AV23" s="607"/>
      <c r="AW23" s="607"/>
    </row>
    <row r="24" spans="8:8" ht="12.0" customHeight="1">
      <c r="A24" s="611">
        <v>0.85</v>
      </c>
      <c r="B24" s="359">
        <v>220.3</v>
      </c>
      <c r="C24" s="359">
        <v>0.7785</v>
      </c>
      <c r="F24" s="388" t="s">
        <v>90</v>
      </c>
      <c r="G24" s="389">
        <f>G22/J27</f>
        <v>5.348306894120257</v>
      </c>
      <c r="H24" s="593">
        <f>(G24/(Calculadora!$B$3*$AA$1))*Calculadora!$B$5/4</f>
        <v>0.0</v>
      </c>
      <c r="I24" s="366" t="s">
        <v>97</v>
      </c>
      <c r="J24" s="368">
        <f>$AT$1*Calculadora!$B$3*M20*1*(1-(G28*0.016))</f>
        <v>2.9893128008489427</v>
      </c>
      <c r="K24" s="578"/>
      <c r="L24" s="584" t="s">
        <v>10</v>
      </c>
      <c r="M24" s="355">
        <f>IF((M26&gt;0),((100+(G28/-J34))/100))</f>
        <v>0.992778214566294</v>
      </c>
      <c r="N24" s="322"/>
      <c r="O24" s="322"/>
      <c r="P24" s="322"/>
      <c r="AG24" s="580"/>
      <c r="AH24" s="609"/>
      <c r="AI24" s="612"/>
      <c r="AJ24" s="612"/>
      <c r="AK24" s="612"/>
      <c r="AL24" s="612"/>
      <c r="AM24" s="612"/>
      <c r="AN24" s="609"/>
      <c r="AO24" s="615"/>
      <c r="AP24" s="615"/>
      <c r="AQ24" s="609"/>
      <c r="AR24" s="603"/>
      <c r="AS24" s="603"/>
      <c r="AT24" s="606"/>
      <c r="AU24" s="616"/>
      <c r="AV24" s="606"/>
      <c r="AW24" s="606"/>
    </row>
    <row r="25" spans="8:8" customHeight="1">
      <c r="A25" s="611">
        <v>0.8</v>
      </c>
      <c r="B25" s="395">
        <v>204.0</v>
      </c>
      <c r="C25" s="395">
        <v>0.651</v>
      </c>
      <c r="F25" s="322"/>
      <c r="G25" s="322"/>
      <c r="H25" s="322"/>
      <c r="I25" s="366" t="s">
        <v>98</v>
      </c>
      <c r="J25" s="368">
        <f>$AT$1*Calculadora!$B$3*M20*1.25*(1-(G28*0.016))</f>
        <v>3.7366410010611784</v>
      </c>
      <c r="K25" s="578"/>
      <c r="L25" s="584" t="s">
        <v>105</v>
      </c>
      <c r="M25" s="617">
        <f>M20*Calculadora!$B$5/4</f>
        <v>0.0</v>
      </c>
      <c r="N25" s="322"/>
      <c r="O25" s="322"/>
      <c r="P25" s="322"/>
      <c r="AG25" s="580"/>
      <c r="AH25" s="609"/>
      <c r="AI25" s="612"/>
      <c r="AJ25" s="612"/>
      <c r="AK25" s="612"/>
      <c r="AL25" s="612"/>
      <c r="AM25" s="612"/>
      <c r="AN25" s="609"/>
      <c r="AO25" s="609"/>
      <c r="AP25" s="609"/>
      <c r="AQ25" s="609"/>
      <c r="AR25" s="603"/>
      <c r="AS25" s="603"/>
      <c r="AT25" s="606"/>
      <c r="AU25" s="616"/>
      <c r="AV25" s="606"/>
      <c r="AW25" s="606"/>
    </row>
    <row r="26" spans="8:8" ht="13.5" customHeight="1">
      <c r="D26" s="322"/>
      <c r="E26" s="322"/>
      <c r="F26" s="338" t="s">
        <v>91</v>
      </c>
      <c r="G26" s="322"/>
      <c r="H26" s="322"/>
      <c r="I26" s="366" t="s">
        <v>99</v>
      </c>
      <c r="J26" s="368">
        <f>(100+(J24*2.75/-4))/100</f>
        <v>0.9794484744941636</v>
      </c>
      <c r="K26" s="578"/>
      <c r="L26" s="584" t="s">
        <v>106</v>
      </c>
      <c r="M26" s="584">
        <f>CC!$Y$13</f>
        <v>261.88</v>
      </c>
      <c r="N26" s="322"/>
      <c r="O26" s="322"/>
      <c r="P26" s="322"/>
      <c r="AG26" s="580"/>
      <c r="AH26" s="609"/>
      <c r="AI26" s="612"/>
      <c r="AJ26" s="612"/>
      <c r="AK26" s="612"/>
      <c r="AL26" s="612"/>
      <c r="AM26" s="609"/>
      <c r="AN26" s="609"/>
      <c r="AO26" s="615"/>
      <c r="AP26" s="615"/>
      <c r="AQ26" s="609"/>
      <c r="AR26" s="603"/>
      <c r="AS26" s="603"/>
      <c r="AT26" s="614"/>
      <c r="AU26" s="614"/>
      <c r="AV26" s="614"/>
      <c r="AW26" s="614"/>
    </row>
    <row r="27" spans="8:8" ht="13.5" customHeight="1">
      <c r="D27" s="322"/>
      <c r="E27" s="322"/>
      <c r="F27" s="352"/>
      <c r="G27" s="354"/>
      <c r="H27" s="322"/>
      <c r="I27" s="388" t="s">
        <v>100</v>
      </c>
      <c r="J27" s="402">
        <f>(100+(J25*4/-6.25))/100</f>
        <v>0.9760854975932085</v>
      </c>
      <c r="K27" s="578"/>
      <c r="L27" s="322"/>
      <c r="M27" s="322"/>
      <c r="N27" s="322"/>
      <c r="O27" s="322"/>
      <c r="P27" s="322"/>
      <c r="AF27" s="580"/>
      <c r="AG27" s="580"/>
      <c r="AH27" s="609"/>
      <c r="AI27" s="612"/>
      <c r="AJ27" s="612"/>
      <c r="AK27" s="612"/>
      <c r="AL27" s="612"/>
      <c r="AM27" s="612"/>
      <c r="AN27" s="609"/>
      <c r="AO27" s="609"/>
      <c r="AP27" s="609"/>
      <c r="AQ27" s="609"/>
      <c r="AR27" s="603"/>
      <c r="AS27" s="603"/>
      <c r="AT27" s="616"/>
      <c r="AU27" s="616"/>
      <c r="AV27" s="616"/>
      <c r="AW27" s="618"/>
    </row>
    <row r="28" spans="8:8" ht="13.5" customHeight="1">
      <c r="D28" s="322"/>
      <c r="E28" s="322"/>
      <c r="F28" s="366" t="s">
        <v>92</v>
      </c>
      <c r="G28" s="368">
        <f>IF(Calculadora!$B$2&gt;0,Calculadora!$B$2*M21,Calculadora!$B$2*M22)</f>
        <v>0.8382617569439798</v>
      </c>
      <c r="H28" s="322"/>
      <c r="I28" s="578"/>
      <c r="J28" s="578"/>
      <c r="K28" s="322"/>
      <c r="L28" s="322"/>
      <c r="M28" s="584" t="s">
        <v>17</v>
      </c>
      <c r="N28" s="619"/>
      <c r="O28" s="354"/>
      <c r="P28" s="322"/>
      <c r="AF28" s="580"/>
      <c r="AG28" s="580"/>
      <c r="AH28" s="609"/>
      <c r="AI28" s="609"/>
      <c r="AJ28" s="609"/>
      <c r="AK28" s="609"/>
      <c r="AL28" s="609"/>
      <c r="AM28" s="612"/>
      <c r="AN28" s="609"/>
      <c r="AO28" s="609"/>
      <c r="AP28" s="609"/>
      <c r="AQ28" s="609"/>
      <c r="AR28" s="603"/>
      <c r="AS28" s="603"/>
      <c r="AT28" s="616"/>
      <c r="AU28" s="616"/>
      <c r="AV28" s="616"/>
      <c r="AW28" s="618"/>
    </row>
    <row r="29" spans="8:8" customHeight="1">
      <c r="A29" s="412" t="s">
        <v>7</v>
      </c>
      <c r="B29" s="413">
        <v>0.01</v>
      </c>
      <c r="C29" s="414">
        <v>0.79</v>
      </c>
      <c r="D29" s="322"/>
      <c r="E29" s="322"/>
      <c r="F29" s="388"/>
      <c r="G29" s="402"/>
      <c r="H29" s="322"/>
      <c r="I29" s="352" t="s">
        <v>103</v>
      </c>
      <c r="J29" s="415">
        <f>M26+G28-J24</f>
        <v>259.72894895609505</v>
      </c>
      <c r="K29" s="620">
        <f>M26+G28</f>
        <v>262.718261756944</v>
      </c>
      <c r="L29" s="322"/>
      <c r="M29" s="366">
        <f>MOD(F33,20/72)</f>
        <v>0.08066587586199647</v>
      </c>
      <c r="N29" s="621">
        <f>MOD(F34,20/72)</f>
        <v>0.09180584985668239</v>
      </c>
      <c r="O29" s="368"/>
      <c r="P29" s="322"/>
      <c r="Q29" s="412" t="s">
        <v>13</v>
      </c>
      <c r="R29" s="413">
        <v>-0.01</v>
      </c>
      <c r="S29" s="414">
        <v>0.644</v>
      </c>
      <c r="AF29" s="580"/>
      <c r="AG29" s="580"/>
      <c r="AH29" s="609"/>
      <c r="AI29" s="609"/>
      <c r="AJ29" s="580"/>
      <c r="AK29" s="609"/>
      <c r="AL29" s="609"/>
      <c r="AM29" s="612"/>
      <c r="AN29" s="609"/>
      <c r="AO29" s="609"/>
      <c r="AP29" s="612"/>
      <c r="AQ29" s="609"/>
      <c r="AR29" s="603"/>
      <c r="AS29" s="603"/>
      <c r="AT29" s="603"/>
      <c r="AU29" s="603"/>
      <c r="AV29" s="603"/>
      <c r="AW29" s="603"/>
    </row>
    <row r="30" spans="8:8" customHeight="1">
      <c r="A30" s="412" t="s">
        <v>7</v>
      </c>
      <c r="B30" s="413">
        <v>5.0</v>
      </c>
      <c r="C30" s="414">
        <v>0.79</v>
      </c>
      <c r="D30" s="322"/>
      <c r="E30" s="322"/>
      <c r="F30" s="578"/>
      <c r="G30" s="578"/>
      <c r="I30" s="388" t="s">
        <v>104</v>
      </c>
      <c r="J30" s="423">
        <f>M26+G28+J25</f>
        <v>266.4549027580052</v>
      </c>
      <c r="K30" s="322"/>
      <c r="L30" s="322"/>
      <c r="M30" s="366">
        <f>M29/(20/72)</f>
        <v>0.2903971531031873</v>
      </c>
      <c r="N30" s="621">
        <f>N29/(20/72)</f>
        <v>0.33050105948405656</v>
      </c>
      <c r="O30" s="368"/>
      <c r="P30" s="322"/>
      <c r="Q30" s="412" t="s">
        <v>13</v>
      </c>
      <c r="R30" s="413">
        <v>-10.0</v>
      </c>
      <c r="S30" s="414">
        <v>0.634</v>
      </c>
      <c r="AF30" s="580"/>
      <c r="AG30" s="580"/>
      <c r="AH30" s="609"/>
      <c r="AI30" s="609"/>
      <c r="AJ30" s="580"/>
      <c r="AK30" s="609"/>
      <c r="AL30" s="610"/>
      <c r="AM30" s="612"/>
      <c r="AN30" s="609"/>
      <c r="AO30" s="609"/>
      <c r="AP30" s="609"/>
      <c r="AQ30" s="609"/>
      <c r="AR30" s="603"/>
      <c r="AS30" s="580"/>
      <c r="AT30" s="580"/>
    </row>
    <row r="31" spans="8:8" customHeight="1">
      <c r="A31" s="412" t="s">
        <v>7</v>
      </c>
      <c r="B31" s="413">
        <v>10.0</v>
      </c>
      <c r="C31" s="414">
        <v>0.79</v>
      </c>
      <c r="D31" s="322"/>
      <c r="E31" s="578"/>
      <c r="F31" s="578"/>
      <c r="H31" s="322"/>
      <c r="I31" s="322"/>
      <c r="J31" s="322"/>
      <c r="K31" s="322"/>
      <c r="L31" s="322"/>
      <c r="M31" s="366">
        <f>IF(M30&lt;0.288,ROUNDDOWN(M30,0),ROUNDUP(M30,0))</f>
        <v>1.0</v>
      </c>
      <c r="N31" s="621">
        <f>IF(N30&lt;0.288,ROUNDDOWN(N30,0),ROUNDUP(N30,0))</f>
        <v>1.0</v>
      </c>
      <c r="O31" s="368"/>
      <c r="P31" s="322"/>
      <c r="Q31" s="412" t="s">
        <v>13</v>
      </c>
      <c r="R31" s="413">
        <v>-20.0</v>
      </c>
      <c r="S31" s="414">
        <v>0.624</v>
      </c>
      <c r="AF31" s="580"/>
      <c r="AG31" s="580"/>
      <c r="AH31" s="609"/>
      <c r="AI31" s="609"/>
      <c r="AJ31" s="609"/>
      <c r="AK31" s="609"/>
      <c r="AL31" s="610"/>
      <c r="AM31" s="612"/>
      <c r="AN31" s="609"/>
      <c r="AO31" s="622"/>
      <c r="AP31" s="622"/>
      <c r="AQ31" s="609"/>
      <c r="AR31" s="603"/>
      <c r="AS31" s="580"/>
      <c r="AT31" s="580"/>
    </row>
    <row r="32" spans="8:8" customHeight="1">
      <c r="A32" s="439" t="s">
        <v>7</v>
      </c>
      <c r="B32" s="338">
        <v>15.0</v>
      </c>
      <c r="C32" s="414">
        <v>0.79</v>
      </c>
      <c r="D32" s="322"/>
      <c r="E32" s="584" t="s">
        <v>95</v>
      </c>
      <c r="F32" s="584" t="s">
        <v>96</v>
      </c>
      <c r="G32" s="584" t="s">
        <v>77</v>
      </c>
      <c r="H32" s="584" t="s">
        <v>18</v>
      </c>
      <c r="I32" s="322"/>
      <c r="J32" s="584" t="s">
        <v>14</v>
      </c>
      <c r="K32" s="584" t="s">
        <v>78</v>
      </c>
      <c r="L32" s="444" t="s">
        <v>15</v>
      </c>
      <c r="M32" s="366"/>
      <c r="N32" s="621"/>
      <c r="O32" s="368"/>
      <c r="P32" s="322"/>
      <c r="Q32" s="412" t="s">
        <v>13</v>
      </c>
      <c r="R32" s="338">
        <v>-30.0</v>
      </c>
      <c r="S32" s="414">
        <v>0.614</v>
      </c>
      <c r="AF32" s="580"/>
      <c r="AG32" s="580"/>
      <c r="AH32" s="609"/>
      <c r="AI32" s="615"/>
      <c r="AJ32" s="615"/>
      <c r="AK32" s="609"/>
      <c r="AL32" s="609"/>
      <c r="AM32" s="623"/>
      <c r="AN32" s="609"/>
      <c r="AO32" s="612"/>
      <c r="AP32" s="612"/>
      <c r="AQ32" s="609"/>
      <c r="AR32" s="603"/>
      <c r="AS32" s="580"/>
      <c r="AT32" s="580"/>
    </row>
    <row r="33" spans="8:8" customHeight="1">
      <c r="A33" s="412" t="s">
        <v>7</v>
      </c>
      <c r="B33" s="413">
        <v>20.0</v>
      </c>
      <c r="C33" s="414">
        <v>0.79</v>
      </c>
      <c r="D33" s="444" t="s">
        <v>101</v>
      </c>
      <c r="E33" s="445">
        <f>IF(M31=0,INDEX(Caliper!$E$255:$E$363,(ROUNDDOWN(((F33-70)/(20/72)+1),0)),1),INDEX(Caliper!$E$255:$E$363,(ROUNDUP(((F33-70)/(20/72))+1,0)),1))</f>
        <v>277.2611111111312</v>
      </c>
      <c r="F33" s="446">
        <f>100*(J29-B22)*(J29-B23)*(J29-B24)*(J29-B25)/((B21-B22)*(B21-B23)*(B21-B24)*(B21-B25))+95*(J29-B21)*(J29-B23)*(J29-B24)*(J29-B25)/((B22-B21)*(B22-B23)*(B22-B24)*(B22-B25))+90*(J29-B21)*(J29-B22)*(J29-B24)*(J29-B25)/((B23-B21)*(B23-B22)*(B23-B24)*(B23-B25))+85*(J29-B21)*(J29-B22)*(J29-B23)*(J29-B25)/((B24-B21)*(B24-B22)*(B24-B23)*(B24-B25))+80*(J29-B21)*(J29-B22)*(J29-B23)*(J29-B24)/((B25-B21)*(B25-B22)*(B25-B23)*(B25-B24))</f>
        <v>96.74733254252867</v>
      </c>
      <c r="G33" s="446">
        <f>G23+H23</f>
        <v>5.11311751371219</v>
      </c>
      <c r="H33" s="584">
        <f>N33</f>
        <v>8.0</v>
      </c>
      <c r="I33" s="414" t="s">
        <v>7</v>
      </c>
      <c r="J33" s="624">
        <f>R22</f>
        <v>9.879626391149449</v>
      </c>
      <c r="K33" s="448">
        <v>1.0122</v>
      </c>
      <c r="L33" s="625">
        <f>C34</f>
        <v>0.7900000000000005</v>
      </c>
      <c r="M33" s="338" t="s">
        <v>19</v>
      </c>
      <c r="N33" s="352">
        <f>IF(M29&lt;0.08,9,N34)</f>
        <v>8.0</v>
      </c>
      <c r="O33" s="354">
        <f>IF(N29&lt;0.08,9,O34)</f>
        <v>8.0</v>
      </c>
      <c r="P33" s="322"/>
      <c r="Q33" s="412" t="s">
        <v>13</v>
      </c>
      <c r="R33" s="413">
        <v>-40.0</v>
      </c>
      <c r="S33" s="414">
        <v>0.604</v>
      </c>
      <c r="AF33" s="580"/>
      <c r="AG33" s="580"/>
      <c r="AH33" s="609"/>
      <c r="AI33" s="622"/>
      <c r="AJ33" s="622"/>
      <c r="AK33" s="609"/>
      <c r="AL33" s="609"/>
      <c r="AM33" s="609"/>
      <c r="AN33" s="609"/>
      <c r="AO33" s="612"/>
      <c r="AP33" s="612"/>
      <c r="AQ33" s="609"/>
      <c r="AR33" s="603"/>
      <c r="AS33" s="580"/>
      <c r="AT33" s="580"/>
    </row>
    <row r="34" spans="8:8" ht="13.5" customHeight="1">
      <c r="A34" s="412" t="s">
        <v>74</v>
      </c>
      <c r="B34" s="413">
        <f>Calculadora!$B$2</f>
        <v>0.95</v>
      </c>
      <c r="C34" s="456">
        <f>C29*(B34-B30)*(B34-B31)*(B34-B32)*(B34-B33)/((B29-B30)*(B29-B31)*(B29-B32)*(B29-B33))+C30*(B34-B29)*(B34-B31)*(B34-B32)*(B34-B33)/((B30-B29)*(B30-B31)*(B30-B32)*(B30-B33))+C31*(B34-B29)*(B34-B30)*(B34-B32)*(B34-B33)/((B31-B29)*(B31-B30)*(B31-B32)*(B31-B33))+C32*(B34-B29)*(B34-B30)*(B34-B31)*(B34-B33)/((B32-B29)*(B32-B30)*(B32-B31)*(B32-B33))+C33*(B34-B29)*(B34-B30)*(B34-B31)*(B34-B32)/((B33-B29)*(B33-B30)*(B33-B31)*(B33-B32))</f>
        <v>0.7900000000000005</v>
      </c>
      <c r="D34" s="584" t="s">
        <v>102</v>
      </c>
      <c r="E34" s="445">
        <f>IF(N31=0,INDEX(Caliper!$E$255:$E$363,(ROUNDDOWN(((F34-70)/(20/72)+1),0)),1),INDEX(Caliper!$E$255:$E$363,(ROUNDUP(((F34-70)/(20/72))+1,0)),1))</f>
        <v>282.8222222222428</v>
      </c>
      <c r="F34" s="446">
        <f>100*(J30-B22)*(J30-B23)*(J30-B24)*(J30-B25)/((B21-B22)*(B21-B23)*(B21-B24)*(B21-B25))+95*(J30-B21)*(J30-B23)*(J30-B24)*(J30-B25)/((B22-B21)*(B22-B23)*(B22-B24)*(B22-B25))+90*(J30-B21)*(J30-B22)*(J30-B24)*(J30-B25)/((B23-B21)*(B23-B22)*(B23-B24)*(B23-B25))+85*(J30-B21)*(J30-B22)*(J30-B23)*(J30-B25)/((B24-B21)*(B24-B22)*(B24-B23)*(B24-B25))+80*(J30-B21)*(J30-B22)*(J30-B23)*(J30-B24)/((B25-B21)*(B25-B22)*(B25-B23)*(B25-B24))</f>
        <v>98.7029169609678</v>
      </c>
      <c r="G34" s="446">
        <f>G24+H24</f>
        <v>5.34830689412026</v>
      </c>
      <c r="H34" s="584">
        <f>O33</f>
        <v>8.0</v>
      </c>
      <c r="I34" s="584" t="s">
        <v>13</v>
      </c>
      <c r="J34" s="355">
        <f>R23</f>
        <v>1.160740324728532</v>
      </c>
      <c r="K34" s="448">
        <v>1.0154</v>
      </c>
      <c r="L34" s="625">
        <f>S34</f>
        <v>0.6449621396608447</v>
      </c>
      <c r="M34" s="388"/>
      <c r="N34" s="388">
        <f>IF(M29&gt;(20/72)-0.08,9,8)</f>
        <v>8.0</v>
      </c>
      <c r="O34" s="402">
        <f>IF(N29&gt;(20/72)-0.08,9,8)</f>
        <v>8.0</v>
      </c>
      <c r="P34" s="322"/>
      <c r="Q34" s="412" t="s">
        <v>16</v>
      </c>
      <c r="R34" s="413">
        <f>Calculadora!$B$2</f>
        <v>0.95</v>
      </c>
      <c r="S34" s="456">
        <f>S29*(R34-R30)*(R34-R31)*(R34-R32)*(R34-R33)/((R29-R30)*(R29-R31)*(R29-R32)*(R29-R33))+S30*(R34-R29)*(R34-R31)*(R34-R32)*(R34-R33)/((R30-R29)*(R30-R31)*(R30-R32)*(R30-R33))+S31*(R34-R29)*(R34-R30)*(R34-R32)*(R34-R33)/((R31-R29)*(R31-R30)*(R31-R32)*(R31-R33))+S32*(R34-R29)*(R34-R30)*(R34-R31)*(R34-R33)/((R32-R29)*(R32-R30)*(R32-R31)*(R32-R33))+S33*(R34-R29)*(R34-R30)*(R34-R31)*(R34-R32)/((R33-R29)*(R33-R30)*(R33-R31)*(R33-R32))</f>
        <v>0.6449621396608447</v>
      </c>
      <c r="AF34" s="580"/>
      <c r="AG34" s="580"/>
      <c r="AH34" s="609"/>
      <c r="AI34" s="613"/>
      <c r="AJ34" s="613"/>
      <c r="AK34" s="609"/>
      <c r="AL34" s="622"/>
      <c r="AM34" s="622"/>
      <c r="AN34" s="609"/>
      <c r="AO34" s="612"/>
      <c r="AP34" s="612"/>
      <c r="AQ34" s="609"/>
      <c r="AR34" s="603"/>
      <c r="AS34" s="580"/>
      <c r="AT34" s="580"/>
    </row>
    <row r="35" spans="8:8" ht="13.5" customHeight="1">
      <c r="A35" s="322"/>
      <c r="B35" s="322"/>
      <c r="C35" s="322"/>
      <c r="D35" s="322"/>
      <c r="E35" s="322"/>
      <c r="F35" s="322"/>
      <c r="G35" s="322"/>
      <c r="H35" s="322"/>
      <c r="I35" s="322"/>
      <c r="J35" s="322"/>
      <c r="K35" s="322"/>
      <c r="L35" s="322"/>
      <c r="M35" s="322"/>
      <c r="N35" s="322"/>
      <c r="O35" s="322"/>
      <c r="P35" s="322"/>
      <c r="AF35" s="603"/>
      <c r="AG35" s="603"/>
      <c r="AH35" s="603"/>
      <c r="AI35" s="603"/>
      <c r="AJ35" s="603"/>
      <c r="AK35" s="603"/>
      <c r="AL35" s="603"/>
      <c r="AM35" s="603"/>
      <c r="AN35" s="603"/>
      <c r="AO35" s="603"/>
      <c r="AP35" s="603"/>
      <c r="AQ35" s="603"/>
      <c r="AR35" s="603"/>
      <c r="AS35" s="580"/>
      <c r="AT35" s="580"/>
    </row>
    <row r="36" spans="8:8" customHeight="1">
      <c r="A36" s="597"/>
      <c r="B36" s="598"/>
      <c r="C36" s="598"/>
      <c r="D36" s="598"/>
      <c r="E36" s="598"/>
      <c r="F36" s="598"/>
      <c r="G36" s="598"/>
      <c r="H36" s="598"/>
      <c r="I36" s="598"/>
      <c r="J36" s="598"/>
      <c r="K36" s="598"/>
      <c r="L36" s="598"/>
      <c r="M36" s="598"/>
      <c r="N36" s="598"/>
      <c r="O36" s="598"/>
      <c r="P36" s="598"/>
      <c r="Q36" s="598"/>
      <c r="R36" s="598"/>
      <c r="S36" s="598"/>
      <c r="T36" s="598"/>
      <c r="U36" s="598"/>
      <c r="V36" s="598"/>
      <c r="W36" s="598"/>
      <c r="X36" s="598"/>
      <c r="Y36" s="599"/>
      <c r="AC36" s="322"/>
      <c r="AD36" s="322"/>
      <c r="AF36" s="603"/>
      <c r="AG36" s="603"/>
      <c r="AH36" s="603"/>
      <c r="AI36" s="603"/>
      <c r="AJ36" s="603"/>
      <c r="AK36" s="603"/>
      <c r="AL36" s="603"/>
      <c r="AM36" s="603"/>
      <c r="AN36" s="603"/>
      <c r="AO36" s="603"/>
      <c r="AP36" s="603"/>
      <c r="AQ36" s="603"/>
      <c r="AR36" s="603"/>
      <c r="AS36" s="580"/>
      <c r="AT36" s="580"/>
    </row>
    <row r="37" spans="8:8" ht="13.5" customHeight="1">
      <c r="K37" s="324" t="s">
        <v>111</v>
      </c>
      <c r="T37" s="322"/>
      <c r="U37" s="322"/>
      <c r="V37" s="322"/>
      <c r="W37" s="322"/>
      <c r="AC37" s="322"/>
      <c r="AD37" s="322"/>
      <c r="AF37" s="603"/>
      <c r="AG37" s="603"/>
      <c r="AH37" s="603"/>
      <c r="AI37" s="603"/>
      <c r="AJ37" s="603"/>
      <c r="AK37" s="603"/>
      <c r="AL37" s="603"/>
      <c r="AM37" s="603"/>
      <c r="AN37" s="603"/>
      <c r="AO37" s="603"/>
      <c r="AP37" s="603"/>
      <c r="AQ37" s="603"/>
      <c r="AR37" s="603"/>
      <c r="AS37" s="580"/>
      <c r="AT37" s="580"/>
    </row>
    <row r="38" spans="8:8" ht="13.5" customHeight="1">
      <c r="A38" s="336" t="s">
        <v>21</v>
      </c>
      <c r="B38" s="605" t="s">
        <v>86</v>
      </c>
      <c r="C38" s="605" t="s">
        <v>77</v>
      </c>
      <c r="F38" s="584" t="s">
        <v>77</v>
      </c>
      <c r="G38" s="322"/>
      <c r="H38" s="322"/>
      <c r="I38" s="584" t="s">
        <v>93</v>
      </c>
      <c r="J38" s="578"/>
      <c r="K38" s="291">
        <f>C39*(M44-B40)*(M44-B41)/((B39-B40)*(B39-B41))+C40*(M44-B39)*(M44-B41)/((B40-B39)*(B40-B41))+C41*(M44-B39)*(M44-B40)/((B41-B39)*(B41-B40))</f>
        <v>0.868757713722843</v>
      </c>
      <c r="L38" s="584" t="s">
        <v>77</v>
      </c>
      <c r="M38" s="585">
        <f>IF(M44&gt;B41,K38,K41)</f>
        <v>0.868757713722843</v>
      </c>
      <c r="N38" s="322"/>
      <c r="O38" s="342" t="s">
        <v>14</v>
      </c>
      <c r="T38" s="322"/>
      <c r="U38" s="322"/>
      <c r="V38" s="322"/>
      <c r="W38" s="322"/>
      <c r="AC38" s="322"/>
      <c r="AD38" s="322"/>
      <c r="AF38" s="603"/>
      <c r="AG38" s="603"/>
      <c r="AH38" s="603"/>
      <c r="AI38" s="603"/>
      <c r="AJ38" s="603"/>
      <c r="AK38" s="603"/>
      <c r="AL38" s="603"/>
      <c r="AM38" s="603"/>
      <c r="AN38" s="603"/>
      <c r="AO38" s="603"/>
      <c r="AP38" s="603"/>
      <c r="AQ38" s="603"/>
      <c r="AR38" s="603"/>
      <c r="AS38" s="580"/>
      <c r="AT38" s="580"/>
    </row>
    <row r="39" spans="8:8" ht="13.5" customHeight="1">
      <c r="A39" s="608">
        <v>1.0</v>
      </c>
      <c r="B39" s="337">
        <v>291.15</v>
      </c>
      <c r="C39" s="337">
        <v>1.1788</v>
      </c>
      <c r="F39" s="352" t="s">
        <v>87</v>
      </c>
      <c r="G39" s="353">
        <f>M38*$AA$1*Calculadora!$B$3</f>
        <v>3.757654581150759</v>
      </c>
      <c r="H39" s="322"/>
      <c r="I39" s="352"/>
      <c r="J39" s="354"/>
      <c r="L39" s="584" t="s">
        <v>7</v>
      </c>
      <c r="M39" s="355">
        <f>K51*POWER(J51,(B39-M44))</f>
        <v>0.8449135212037624</v>
      </c>
      <c r="N39" s="322"/>
      <c r="O39" s="356">
        <f>B39</f>
        <v>291.15</v>
      </c>
      <c r="P39" s="357">
        <f>B41</f>
        <v>260.1</v>
      </c>
      <c r="Q39" s="356">
        <f>B43</f>
        <v>230.65</v>
      </c>
      <c r="R39" s="358">
        <f>K47</f>
        <v>262.68266784514356</v>
      </c>
      <c r="T39" s="322"/>
      <c r="U39" s="322"/>
      <c r="V39" s="322"/>
      <c r="W39" s="322"/>
      <c r="AD39" s="322"/>
      <c r="AE39" s="322"/>
      <c r="AF39" s="626"/>
      <c r="AG39" s="626"/>
      <c r="AH39" s="626"/>
      <c r="AI39" s="627"/>
      <c r="AJ39" s="627"/>
      <c r="AK39" s="627"/>
      <c r="AL39" s="627"/>
      <c r="AM39" s="627"/>
      <c r="AN39" s="627"/>
      <c r="AO39" s="627"/>
      <c r="AP39" s="627"/>
      <c r="AQ39" s="627"/>
      <c r="AR39" s="627"/>
    </row>
    <row r="40" spans="8:8" customHeight="1">
      <c r="A40" s="611">
        <v>0.95</v>
      </c>
      <c r="B40" s="359">
        <v>275.6</v>
      </c>
      <c r="C40" s="359">
        <v>0.9975</v>
      </c>
      <c r="F40" s="366" t="s">
        <v>88</v>
      </c>
      <c r="G40" s="367">
        <f>IF(G46&gt;0,G39*M41,G39*M42)</f>
        <v>3.7496115184695693</v>
      </c>
      <c r="H40" s="322"/>
      <c r="I40" s="366" t="s">
        <v>94</v>
      </c>
      <c r="J40" s="368">
        <f>M38*Calculadora!$B$3*$AA$2</f>
        <v>2.179112474742928</v>
      </c>
      <c r="K40" s="369" t="s">
        <v>112</v>
      </c>
      <c r="L40" s="584" t="s">
        <v>8</v>
      </c>
      <c r="M40" s="355">
        <f>K52*POWER(J52,(B39-M44))</f>
        <v>0.7613959503343439</v>
      </c>
      <c r="N40" s="322"/>
      <c r="O40" s="628">
        <v>3.75</v>
      </c>
      <c r="P40" s="629">
        <v>3.75</v>
      </c>
      <c r="Q40" s="630">
        <v>3.75</v>
      </c>
      <c r="R40" s="372">
        <f>O40*(R39-P39)*(R39-Q39)/((O39-P39)*(O39-Q39))+P40*(R39-O39)*(R39-Q39)/((P39-O39)*(P39-Q39))+Q40*(R39-O39)*(R39-P39)/((Q39-O39)*(Q39-P39))</f>
        <v>3.749999999999996</v>
      </c>
      <c r="T40" s="322"/>
      <c r="U40" s="322"/>
      <c r="V40" s="322"/>
      <c r="W40" s="322"/>
      <c r="AD40" s="322"/>
      <c r="AE40" s="322"/>
      <c r="AF40" s="626"/>
      <c r="AG40" s="626"/>
      <c r="AH40" s="626"/>
      <c r="AI40" s="627"/>
      <c r="AJ40" s="627"/>
      <c r="AK40" s="627"/>
      <c r="AL40" s="627"/>
      <c r="AM40" s="627"/>
      <c r="AN40" s="627"/>
      <c r="AO40" s="627"/>
      <c r="AP40" s="627"/>
      <c r="AQ40" s="627"/>
      <c r="AR40" s="627"/>
    </row>
    <row r="41" spans="8:8" customHeight="1">
      <c r="A41" s="611">
        <v>0.9</v>
      </c>
      <c r="B41" s="365">
        <v>260.1</v>
      </c>
      <c r="C41" s="365">
        <v>0.8542</v>
      </c>
      <c r="F41" s="366" t="s">
        <v>89</v>
      </c>
      <c r="G41" s="367">
        <f>G40*J44</f>
        <v>3.694158525431945</v>
      </c>
      <c r="H41" s="593">
        <f>(G41/(Calculadora!$B$3*$AA$1))*Calculadora!$B$5/4</f>
        <v>0.0</v>
      </c>
      <c r="I41" s="366"/>
      <c r="J41" s="368"/>
      <c r="K41" s="291">
        <f>C41*(M44-B42)*(M44-B43)/((B41-B42)*(B41-B43))+C42*(M44-B41)*(M44-B43)/((B42-B41)*(B42-B43))+C43*(M44-B41)*(M44-B42)/((B43-B41)*(B43-B42))</f>
        <v>0.8713872588982043</v>
      </c>
      <c r="L41" s="584" t="s">
        <v>9</v>
      </c>
      <c r="M41" s="355">
        <f>IF((M44&gt;0),((100+(G46/-I51))/100))</f>
        <v>0.9978595524129504</v>
      </c>
      <c r="N41" s="322"/>
      <c r="O41" s="631">
        <v>3.4</v>
      </c>
      <c r="P41" s="632">
        <v>3.2</v>
      </c>
      <c r="Q41" s="633">
        <v>3.0</v>
      </c>
      <c r="R41" s="372">
        <f>O41*(R39-P39)*(R39-Q39)/((O39-P39)*(O39-Q39))+P41*(R39-O39)*(R39-Q39)/((P39-O39)*(P39-Q39))+Q41*(R39-O39)*(R39-P39)/((Q39-O39)*(Q39-P39))</f>
        <v>3.217060809988499</v>
      </c>
      <c r="T41" s="322"/>
      <c r="U41" s="322"/>
      <c r="V41" s="322"/>
      <c r="W41" s="322"/>
      <c r="AD41" s="322"/>
      <c r="AE41" s="322"/>
      <c r="AF41" s="322"/>
      <c r="AG41" s="322"/>
      <c r="AH41" s="322"/>
    </row>
    <row r="42" spans="8:8" customHeight="1">
      <c r="A42" s="611">
        <v>0.85</v>
      </c>
      <c r="B42" s="359">
        <v>245.41</v>
      </c>
      <c r="C42" s="359">
        <v>0.7255</v>
      </c>
      <c r="F42" s="388" t="s">
        <v>90</v>
      </c>
      <c r="G42" s="389">
        <f>G40/J45</f>
        <v>3.815803058498717</v>
      </c>
      <c r="H42" s="593">
        <f>(G42/(Calculadora!$B$3*$AA$1))*Calculadora!$B$5/4</f>
        <v>0.0</v>
      </c>
      <c r="I42" s="366" t="s">
        <v>97</v>
      </c>
      <c r="J42" s="368">
        <f>$AT$1*Calculadora!$B$3*M38*1*(1-(G46*0.016))</f>
        <v>2.1511268185120893</v>
      </c>
      <c r="K42" s="578"/>
      <c r="L42" s="584" t="s">
        <v>10</v>
      </c>
      <c r="M42" s="355">
        <f>IF((M44&gt;0),((100+(G46/-I52))/100))</f>
        <v>0.9975049652693806</v>
      </c>
      <c r="N42" s="322"/>
      <c r="O42" s="322"/>
      <c r="T42" s="322"/>
      <c r="U42" s="322"/>
      <c r="V42" s="322"/>
      <c r="W42" s="322"/>
      <c r="X42" s="322"/>
      <c r="AD42" s="322"/>
      <c r="AE42" s="322"/>
      <c r="AF42" s="322"/>
      <c r="AG42" s="322"/>
      <c r="AH42" s="322"/>
    </row>
    <row r="43" spans="8:8" customHeight="1">
      <c r="A43" s="611">
        <v>0.8</v>
      </c>
      <c r="B43" s="395">
        <v>230.65</v>
      </c>
      <c r="C43" s="395">
        <v>0.6198</v>
      </c>
      <c r="F43" s="322"/>
      <c r="G43" s="322"/>
      <c r="H43" s="322"/>
      <c r="I43" s="366" t="s">
        <v>98</v>
      </c>
      <c r="J43" s="368">
        <f>$AT$1*Calculadora!$B$3*M38*1.26*(1-(G46*0.016))</f>
        <v>2.7104197913252324</v>
      </c>
      <c r="K43" s="578"/>
      <c r="L43" s="584" t="s">
        <v>105</v>
      </c>
      <c r="M43" s="584">
        <f>M38/5*Calculadora!$B$5</f>
        <v>0.0</v>
      </c>
      <c r="N43" s="322"/>
      <c r="O43" s="322"/>
      <c r="P43" s="322"/>
      <c r="Q43" s="322"/>
      <c r="R43" s="322"/>
      <c r="S43" s="322"/>
      <c r="T43" s="322"/>
      <c r="U43" s="322"/>
      <c r="V43" s="322"/>
      <c r="W43" s="322"/>
      <c r="X43" s="322"/>
      <c r="AD43" s="322"/>
      <c r="AE43" s="322"/>
      <c r="AF43" s="322"/>
      <c r="AG43" s="322"/>
      <c r="AH43" s="322"/>
    </row>
    <row r="44" spans="8:8" customHeight="1">
      <c r="A44" s="322"/>
      <c r="E44" s="322"/>
      <c r="F44" s="338" t="s">
        <v>91</v>
      </c>
      <c r="G44" s="322"/>
      <c r="H44" s="322"/>
      <c r="I44" s="366" t="s">
        <v>99</v>
      </c>
      <c r="J44" s="368">
        <f>(100+(J42*2.75/-4))/100</f>
        <v>0.9852110031227294</v>
      </c>
      <c r="K44" s="578"/>
      <c r="L44" s="584" t="s">
        <v>11</v>
      </c>
      <c r="M44" s="584">
        <f>CC!$U$13</f>
        <v>261.88</v>
      </c>
      <c r="N44" s="322"/>
      <c r="O44" s="322"/>
      <c r="P44" s="322"/>
      <c r="Q44" s="322"/>
      <c r="R44" s="322"/>
      <c r="S44" s="322"/>
      <c r="T44" s="322"/>
      <c r="U44" s="322"/>
      <c r="V44" s="322"/>
      <c r="W44" s="322"/>
      <c r="X44" s="322"/>
      <c r="AC44" s="322"/>
      <c r="AD44" s="322"/>
    </row>
    <row r="45" spans="8:8" customHeight="1">
      <c r="A45" s="322"/>
      <c r="B45" s="322"/>
      <c r="C45" s="322"/>
      <c r="D45" s="626"/>
      <c r="E45" s="626"/>
      <c r="F45" s="352"/>
      <c r="G45" s="354"/>
      <c r="H45" s="322"/>
      <c r="I45" s="388" t="s">
        <v>100</v>
      </c>
      <c r="J45" s="402">
        <f>(100+(J43*4/-6.25))/100</f>
        <v>0.9826533133355185</v>
      </c>
      <c r="K45" s="578"/>
      <c r="L45" s="322"/>
      <c r="M45" s="322"/>
      <c r="O45" s="322"/>
      <c r="P45" s="322"/>
      <c r="Q45" s="322"/>
      <c r="R45" s="322"/>
      <c r="S45" s="322"/>
      <c r="T45" s="322"/>
      <c r="U45" s="322"/>
      <c r="V45" s="322"/>
      <c r="W45" s="322"/>
      <c r="X45" s="322"/>
      <c r="Z45" s="322"/>
      <c r="AA45" s="322"/>
      <c r="AB45" s="322"/>
      <c r="AC45" s="322"/>
      <c r="AD45" s="322"/>
    </row>
    <row r="46" spans="8:8" customHeight="1">
      <c r="A46" s="322"/>
      <c r="B46" s="322"/>
      <c r="C46" s="322"/>
      <c r="D46" s="626"/>
      <c r="E46" s="626"/>
      <c r="F46" s="366" t="s">
        <v>92</v>
      </c>
      <c r="G46" s="368">
        <f>IF(Calculadora!$B$2&gt;0,Calculadora!$B$2*M39,Calculadora!$B$2*M40)</f>
        <v>0.8026678451435743</v>
      </c>
      <c r="H46" s="322"/>
      <c r="I46" s="578"/>
      <c r="J46" s="578"/>
      <c r="L46" s="322"/>
      <c r="M46" s="322"/>
      <c r="O46" s="322"/>
      <c r="P46" s="322"/>
      <c r="Q46" s="322"/>
      <c r="R46" s="322"/>
      <c r="S46" s="322"/>
      <c r="T46" s="322"/>
      <c r="U46" s="322"/>
      <c r="V46" s="322"/>
      <c r="W46" s="322"/>
      <c r="X46" s="322"/>
      <c r="Z46" s="322"/>
      <c r="AA46" s="322"/>
      <c r="AB46" s="322"/>
      <c r="AC46" s="322"/>
      <c r="AD46" s="322"/>
    </row>
    <row r="47" spans="8:8" customHeight="1">
      <c r="A47" s="322"/>
      <c r="B47" s="322"/>
      <c r="C47" s="322"/>
      <c r="D47" s="626"/>
      <c r="E47" s="626"/>
      <c r="F47" s="388"/>
      <c r="G47" s="402"/>
      <c r="H47" s="322"/>
      <c r="I47" s="352" t="s">
        <v>103</v>
      </c>
      <c r="J47" s="415">
        <f>M44+G46-J42</f>
        <v>260.53154102663194</v>
      </c>
      <c r="K47" s="620">
        <f>G46+M44</f>
        <v>262.68266784514356</v>
      </c>
      <c r="L47" s="322"/>
      <c r="M47" s="412" t="s">
        <v>7</v>
      </c>
      <c r="N47" s="413">
        <v>0.01</v>
      </c>
      <c r="O47" s="634">
        <v>0.618</v>
      </c>
      <c r="P47" s="322"/>
      <c r="Q47" s="412" t="s">
        <v>13</v>
      </c>
      <c r="R47" s="413">
        <v>-0.01</v>
      </c>
      <c r="S47" s="634">
        <v>0.552</v>
      </c>
      <c r="T47" s="322"/>
      <c r="X47" s="322"/>
      <c r="Z47" s="322"/>
      <c r="AA47" s="322"/>
      <c r="AB47" s="322"/>
      <c r="AC47" s="322"/>
      <c r="AD47" s="322"/>
    </row>
    <row r="48" spans="8:8" ht="13.5" customHeight="1">
      <c r="A48" s="322"/>
      <c r="B48" s="322"/>
      <c r="C48" s="322"/>
      <c r="D48" s="626"/>
      <c r="E48" s="626"/>
      <c r="F48" s="578"/>
      <c r="G48" s="578"/>
      <c r="H48" s="322"/>
      <c r="I48" s="388" t="s">
        <v>104</v>
      </c>
      <c r="J48" s="423">
        <f>M44+G46+J43</f>
        <v>265.39308763646926</v>
      </c>
      <c r="K48" s="322"/>
      <c r="L48" s="322"/>
      <c r="M48" s="412" t="s">
        <v>7</v>
      </c>
      <c r="N48" s="413">
        <v>5.0</v>
      </c>
      <c r="O48" s="634">
        <v>0.622</v>
      </c>
      <c r="P48" s="322"/>
      <c r="Q48" s="412" t="s">
        <v>13</v>
      </c>
      <c r="R48" s="413">
        <v>-10.0</v>
      </c>
      <c r="S48" s="634">
        <v>0.544</v>
      </c>
      <c r="T48" s="322"/>
      <c r="X48" s="322"/>
      <c r="Z48" s="322"/>
      <c r="AA48" s="322"/>
      <c r="AB48" s="322"/>
      <c r="AC48" s="322"/>
      <c r="AD48" s="322"/>
    </row>
    <row r="49" spans="8:8" customHeight="1">
      <c r="A49" s="322"/>
      <c r="B49" s="322"/>
      <c r="C49" s="322"/>
      <c r="D49" s="626"/>
      <c r="E49" s="626"/>
      <c r="F49" s="322"/>
      <c r="G49" s="322"/>
      <c r="H49" s="322"/>
      <c r="I49" s="322"/>
      <c r="J49" s="322"/>
      <c r="K49" s="322"/>
      <c r="L49" s="322"/>
      <c r="M49" s="412" t="s">
        <v>7</v>
      </c>
      <c r="N49" s="413">
        <v>10.0</v>
      </c>
      <c r="O49" s="634">
        <v>0.626</v>
      </c>
      <c r="P49" s="322"/>
      <c r="Q49" s="412" t="s">
        <v>13</v>
      </c>
      <c r="R49" s="413">
        <v>-20.0</v>
      </c>
      <c r="S49" s="634">
        <v>0.536</v>
      </c>
      <c r="T49" s="322"/>
      <c r="U49" s="322"/>
      <c r="V49" s="322"/>
      <c r="W49" s="322"/>
      <c r="X49" s="322"/>
      <c r="Y49" s="322"/>
      <c r="Z49" s="322"/>
      <c r="AA49" s="322"/>
      <c r="AB49" s="322"/>
      <c r="AC49" s="322"/>
      <c r="AD49" s="322"/>
    </row>
    <row r="50" spans="8:8" customHeight="1">
      <c r="A50" s="322"/>
      <c r="B50" s="322"/>
      <c r="C50" s="322"/>
      <c r="D50" s="626"/>
      <c r="E50" s="337" t="s">
        <v>95</v>
      </c>
      <c r="F50" s="584" t="s">
        <v>96</v>
      </c>
      <c r="G50" s="584" t="s">
        <v>77</v>
      </c>
      <c r="H50" s="322"/>
      <c r="I50" s="584" t="s">
        <v>14</v>
      </c>
      <c r="J50" s="584" t="s">
        <v>78</v>
      </c>
      <c r="K50" s="584" t="s">
        <v>15</v>
      </c>
      <c r="L50" s="322"/>
      <c r="M50" s="439" t="s">
        <v>7</v>
      </c>
      <c r="N50" s="338">
        <v>15.0</v>
      </c>
      <c r="O50" s="634">
        <v>0.63</v>
      </c>
      <c r="P50" s="322"/>
      <c r="Q50" s="412" t="s">
        <v>13</v>
      </c>
      <c r="R50" s="338">
        <v>-30.0</v>
      </c>
      <c r="S50" s="634">
        <v>0.528</v>
      </c>
      <c r="T50" s="322"/>
      <c r="U50" s="322"/>
      <c r="V50" s="322"/>
      <c r="W50" s="322"/>
      <c r="X50" s="322"/>
      <c r="Y50" s="322"/>
      <c r="Z50" s="322"/>
      <c r="AA50" s="322"/>
      <c r="AB50" s="322"/>
      <c r="AC50" s="322"/>
      <c r="AD50" s="322"/>
    </row>
    <row r="51" spans="8:8" customHeight="1">
      <c r="A51" s="322"/>
      <c r="B51" s="322"/>
      <c r="C51" s="322"/>
      <c r="D51" s="605" t="s">
        <v>101</v>
      </c>
      <c r="E51" s="635">
        <f>INDEX(Caliper!$I$291:$I$363,(ROUNDUP(((F51-80)/(20/72))+1,0)),1)</f>
        <v>254.58333333334465</v>
      </c>
      <c r="F51" s="446">
        <f>100*(J47-B40)*(J47-B41)*(J47-B42)*(J47-B43)/((B39-B40)*(B39-B41)*(B39-B42)*(B39-B43))+95*(J47-B39)*(J47-B41)*(J47-B42)*(J47-B43)/((B40-B39)*(B40-B41)*(B40-B42)*(B40-B43))+90*(J47-B39)*(J47-B40)*(J47-B42)*(J47-B43)/((B41-B39)*(B41-B40)*(B41-B42)*(B41-B43))+85*(J47-B39)*(J47-B40)*(J47-B41)*(J47-B43)/((B42-B39)*(B42-B40)*(B42-B41)*(B42-B43))+80*(J47-B39)*(J47-B40)*(J47-B41)*(J47-B42)/((B43-B39)*(B43-B40)*(B43-B41)*(B43-B42))</f>
        <v>90.14316077894779</v>
      </c>
      <c r="G51" s="446">
        <f>G41+H41</f>
        <v>3.69415852543195</v>
      </c>
      <c r="H51" s="584" t="s">
        <v>7</v>
      </c>
      <c r="I51" s="584">
        <f>R40</f>
        <v>3.749999999999996</v>
      </c>
      <c r="J51" s="584">
        <v>1.0107</v>
      </c>
      <c r="K51" s="355">
        <f>O52</f>
        <v>0.618754746068178</v>
      </c>
      <c r="L51" s="322"/>
      <c r="M51" s="412" t="s">
        <v>7</v>
      </c>
      <c r="N51" s="413">
        <v>20.0</v>
      </c>
      <c r="O51" s="634">
        <v>0.634</v>
      </c>
      <c r="P51" s="322"/>
      <c r="Q51" s="412" t="s">
        <v>13</v>
      </c>
      <c r="R51" s="413">
        <v>-40.0</v>
      </c>
      <c r="S51" s="634">
        <v>0.52</v>
      </c>
      <c r="T51" s="322"/>
      <c r="U51" s="322"/>
      <c r="V51" s="322"/>
      <c r="W51" s="322"/>
      <c r="X51" s="322"/>
      <c r="Y51" s="322"/>
      <c r="Z51" s="322"/>
      <c r="AA51" s="322"/>
      <c r="AB51" s="322"/>
      <c r="AC51" s="322"/>
      <c r="AD51" s="322"/>
    </row>
    <row r="52" spans="8:8" ht="13.5" customHeight="1">
      <c r="A52" s="322"/>
      <c r="B52" s="322"/>
      <c r="C52" s="322"/>
      <c r="D52" s="605" t="s">
        <v>102</v>
      </c>
      <c r="E52" s="635">
        <f>INDEX(Caliper!$I$291:$I$363,(ROUNDUP(((F52-80)/(20/72))+1,0)),1)</f>
        <v>259.2833333333426</v>
      </c>
      <c r="F52" s="446">
        <f>100*(J48-B40)*(J48-B41)*(J48-B42)*(J48-B43)/((B39-B40)*(B39-B41)*(B39-B42)*(B39-B43))+95*(J48-B39)*(J48-B41)*(J48-B42)*(J48-B43)/((B40-B39)*(B40-B41)*(B40-B42)*(B40-B43))+90*(J48-B39)*(J48-B40)*(J48-B42)*(J48-B43)/((B41-B39)*(B41-B40)*(B41-B42)*(B41-B43))+85*(J48-B39)*(J48-B40)*(J48-B41)*(J48-B43)/((B42-B39)*(B42-B40)*(B42-B41)*(B42-B43))+80*(J48-B39)*(J48-B40)*(J48-B41)*(J48-B42)/((B43-B39)*(B43-B40)*(B43-B41)*(B43-B42))</f>
        <v>91.73832980596794</v>
      </c>
      <c r="G52" s="446">
        <f>G42+H42</f>
        <v>3.81580305849872</v>
      </c>
      <c r="H52" s="584" t="s">
        <v>13</v>
      </c>
      <c r="I52" s="584">
        <f>R41</f>
        <v>3.217060809988499</v>
      </c>
      <c r="J52" s="584">
        <v>1.011</v>
      </c>
      <c r="K52" s="355">
        <f>S52</f>
        <v>0.5527697117286757</v>
      </c>
      <c r="L52" s="322"/>
      <c r="M52" s="412" t="s">
        <v>74</v>
      </c>
      <c r="N52" s="413">
        <f>Calculadora!$B$2</f>
        <v>0.95</v>
      </c>
      <c r="O52" s="456">
        <f>O47*(N52-N48)*(N52-N49)*(N52-N50)*(N52-N51)/((N47-N48)*(N47-N49)*(N47-N50)*(N47-N51))+O48*(N52-N47)*(N52-N49)*(N52-N50)*(N52-N51)/((N48-N47)*(N48-N49)*(N48-N50)*(N48-N51))+O49*(N52-N47)*(N52-N48)*(N52-N50)*(N52-N51)/((N49-N47)*(N49-N48)*(N49-N50)*(N49-N51))+O50*(N52-N47)*(N52-N48)*(N52-N49)*(N52-N51)/((N50-N47)*(N50-N48)*(N50-N49)*(N50-N51))+O51*(N52-N47)*(N52-N48)*(N52-N49)*(N52-N50)/((N51-N47)*(N51-N48)*(N51-N49)*(N51-N50))</f>
        <v>0.618754746068178</v>
      </c>
      <c r="P52" s="322"/>
      <c r="Q52" s="412" t="s">
        <v>16</v>
      </c>
      <c r="R52" s="413">
        <f>Calculadora!$B$2</f>
        <v>0.95</v>
      </c>
      <c r="S52" s="456">
        <f>S47*(R52-R48)*(R52-R49)*(R52-R50)*(R52-R51)/((R47-R48)*(R47-R49)*(R47-R50)*(R47-R51))+S48*(R52-R47)*(R52-R49)*(R52-R50)*(R52-R51)/((R48-R47)*(R48-R49)*(R48-R50)*(R48-R51))+S49*(R52-R47)*(R52-R48)*(R52-R50)*(R52-R51)/((R49-R47)*(R49-R48)*(R49-R50)*(R49-R51))+S50*(R52-R47)*(R52-R48)*(R52-R49)*(R52-R51)/((R50-R47)*(R50-R48)*(R50-R49)*(R50-R51))+S51*(R52-R47)*(R52-R48)*(R52-R49)*(R52-R50)/((R51-R47)*(R51-R48)*(R51-R49)*(R51-R50))</f>
        <v>0.5527697117286757</v>
      </c>
      <c r="T52" s="322"/>
      <c r="U52" s="322"/>
      <c r="V52" s="322"/>
      <c r="W52" s="322"/>
      <c r="X52" s="322"/>
      <c r="Y52" s="322"/>
      <c r="Z52" s="322"/>
      <c r="AA52" s="322"/>
      <c r="AB52" s="322"/>
      <c r="AC52" s="322"/>
      <c r="AD52" s="322"/>
    </row>
    <row r="53" spans="8:8" ht="13.5" customHeight="1">
      <c r="A53" s="322"/>
      <c r="B53" s="322"/>
      <c r="C53" s="322"/>
      <c r="R53" s="322"/>
      <c r="S53" s="322"/>
      <c r="T53" s="322"/>
      <c r="U53" s="322"/>
      <c r="V53" s="322"/>
      <c r="W53" s="322"/>
      <c r="X53" s="322"/>
      <c r="Y53" s="322"/>
      <c r="Z53" s="322"/>
      <c r="AA53" s="322"/>
      <c r="AB53" s="322"/>
      <c r="AC53" s="322"/>
      <c r="AD53" s="322"/>
    </row>
    <row r="54" spans="8:8" customHeight="1">
      <c r="A54" s="597"/>
      <c r="B54" s="598"/>
      <c r="C54" s="598"/>
      <c r="D54" s="598"/>
      <c r="E54" s="598"/>
      <c r="F54" s="598"/>
      <c r="G54" s="598"/>
      <c r="H54" s="598"/>
      <c r="I54" s="598"/>
      <c r="J54" s="598"/>
      <c r="K54" s="598"/>
      <c r="L54" s="598"/>
      <c r="M54" s="598"/>
      <c r="N54" s="598"/>
      <c r="O54" s="598"/>
      <c r="P54" s="598"/>
      <c r="Q54" s="598"/>
      <c r="R54" s="598"/>
      <c r="S54" s="598"/>
      <c r="T54" s="598"/>
      <c r="U54" s="598"/>
      <c r="V54" s="598"/>
      <c r="W54" s="598"/>
      <c r="X54" s="598"/>
      <c r="Y54" s="599"/>
      <c r="Z54" s="322"/>
      <c r="AA54" s="322"/>
      <c r="AB54" s="322"/>
      <c r="AC54" s="322"/>
      <c r="AD54" s="322"/>
    </row>
    <row r="55" spans="8:8" customHeight="1">
      <c r="A55" s="322"/>
      <c r="B55" s="322"/>
      <c r="C55" s="322"/>
      <c r="D55" s="322"/>
      <c r="E55" s="322"/>
      <c r="F55" s="322"/>
      <c r="G55" s="322"/>
      <c r="H55" s="322"/>
      <c r="I55" s="322"/>
      <c r="J55" s="322"/>
      <c r="K55" s="324" t="s">
        <v>111</v>
      </c>
      <c r="L55" s="322"/>
      <c r="M55" s="322"/>
      <c r="N55" s="322"/>
      <c r="O55" s="322"/>
      <c r="P55" s="322"/>
      <c r="Q55" s="322"/>
      <c r="R55" s="322"/>
      <c r="S55" s="322"/>
      <c r="T55" s="322"/>
      <c r="U55" s="322"/>
      <c r="V55" s="322"/>
      <c r="W55" s="322"/>
      <c r="X55" s="322"/>
      <c r="Y55" s="322"/>
      <c r="Z55" s="322"/>
      <c r="AA55" s="322"/>
      <c r="AB55" s="322"/>
      <c r="AC55" s="322"/>
      <c r="AD55" s="322"/>
    </row>
    <row r="56" spans="8:8" customHeight="1">
      <c r="A56" s="336" t="s">
        <v>22</v>
      </c>
      <c r="B56" s="605" t="s">
        <v>86</v>
      </c>
      <c r="C56" s="605" t="s">
        <v>77</v>
      </c>
      <c r="F56" s="338" t="s">
        <v>77</v>
      </c>
      <c r="G56" s="322"/>
      <c r="H56" s="322"/>
      <c r="I56" s="338" t="s">
        <v>93</v>
      </c>
      <c r="J56" s="578"/>
      <c r="K56" s="291">
        <f>C57*(M62-B58)*(M62-B59)/((B57-B58)*(B57-B59))+C58*(M62-B57)*(M62-B59)/((B58-B57)*(B58-B59))+C59*(M62-B57)*(M62-B58)/((B59-B57)*(B59-B58))</f>
        <v>1.073998243112218</v>
      </c>
      <c r="L56" s="584" t="s">
        <v>77</v>
      </c>
      <c r="M56" s="585">
        <f>IF(M62&gt;B59,K56,K59)</f>
        <v>1.073998243112218</v>
      </c>
      <c r="O56" s="342" t="s">
        <v>14</v>
      </c>
      <c r="S56" s="322"/>
      <c r="T56" s="322"/>
      <c r="U56" s="322"/>
      <c r="V56" s="322"/>
      <c r="W56" s="322"/>
      <c r="X56" s="322"/>
      <c r="Y56" s="322"/>
      <c r="Z56" s="322"/>
      <c r="AA56" s="322"/>
      <c r="AB56" s="322"/>
      <c r="AC56" s="322"/>
      <c r="AD56" s="322"/>
    </row>
    <row r="57" spans="8:8" customHeight="1">
      <c r="A57" s="608">
        <v>1.0</v>
      </c>
      <c r="B57" s="337">
        <v>275.05</v>
      </c>
      <c r="C57" s="337">
        <v>1.2352</v>
      </c>
      <c r="F57" s="352" t="s">
        <v>87</v>
      </c>
      <c r="G57" s="353">
        <f>M56*$AA$1*Calculadora!$B$3</f>
        <v>4.645385421770186</v>
      </c>
      <c r="H57" s="322"/>
      <c r="I57" s="352"/>
      <c r="J57" s="354"/>
      <c r="L57" s="584" t="s">
        <v>7</v>
      </c>
      <c r="M57" s="355">
        <f>K69*POWER(J69,(B57-M62))</f>
        <v>0.7218595999220374</v>
      </c>
      <c r="O57" s="356">
        <f>B57</f>
        <v>275.05</v>
      </c>
      <c r="P57" s="357">
        <f>B59</f>
        <v>246.5</v>
      </c>
      <c r="Q57" s="356">
        <f>B61</f>
        <v>219.6</v>
      </c>
      <c r="R57" s="358">
        <f>K65</f>
        <v>262.5657666199259</v>
      </c>
      <c r="S57" s="322"/>
      <c r="X57" s="322"/>
      <c r="Y57" s="322"/>
      <c r="Z57" s="322"/>
      <c r="AA57" s="322"/>
      <c r="AB57" s="322"/>
      <c r="AC57" s="322"/>
      <c r="AD57" s="322"/>
    </row>
    <row r="58" spans="8:8" customHeight="1">
      <c r="A58" s="611">
        <v>0.95</v>
      </c>
      <c r="B58" s="359">
        <v>260.75</v>
      </c>
      <c r="C58" s="359">
        <v>1.0611</v>
      </c>
      <c r="F58" s="366" t="s">
        <v>88</v>
      </c>
      <c r="G58" s="367">
        <f>IF(G64&gt;0,G57*M59,G57*M60)</f>
        <v>4.634766587573717</v>
      </c>
      <c r="H58" s="322"/>
      <c r="I58" s="366" t="s">
        <v>94</v>
      </c>
      <c r="J58" s="368">
        <f>M56*Calculadora!$B$3*$AA$2</f>
        <v>2.69391906678881</v>
      </c>
      <c r="K58" s="369" t="s">
        <v>112</v>
      </c>
      <c r="L58" s="584" t="s">
        <v>8</v>
      </c>
      <c r="M58" s="355">
        <f>K70*POWER(J70,(B57-M62))</f>
        <v>0.5547818551396232</v>
      </c>
      <c r="O58" s="370">
        <v>3.0</v>
      </c>
      <c r="P58" s="371">
        <v>3.0</v>
      </c>
      <c r="Q58" s="357">
        <v>3.0</v>
      </c>
      <c r="R58" s="372">
        <f>O58*(R57-P57)*(R57-Q57)/((O57-P57)*(O57-Q57))+P58*(R57-O57)*(R57-Q57)/((P57-O57)*(P57-Q57))+Q58*(R57-O57)*(R57-P57)/((Q57-O57)*(Q57-P57))</f>
        <v>2.999999999999998</v>
      </c>
      <c r="S58" s="322"/>
      <c r="Y58" s="322"/>
      <c r="Z58" s="322"/>
      <c r="AA58" s="322"/>
      <c r="AB58" s="322"/>
      <c r="AC58" s="322"/>
      <c r="AD58" s="322"/>
    </row>
    <row r="59" spans="8:8" customHeight="1">
      <c r="A59" s="611">
        <v>0.9</v>
      </c>
      <c r="B59" s="365">
        <v>246.5</v>
      </c>
      <c r="C59" s="365">
        <v>0.9111</v>
      </c>
      <c r="F59" s="366" t="s">
        <v>89</v>
      </c>
      <c r="G59" s="367">
        <f>G58*J62</f>
        <v>4.5498693451125884</v>
      </c>
      <c r="H59" s="593">
        <f>(G59/(Calculadora!$B$3*$AA$1))*Calculadora!$B$5/4</f>
        <v>0.0</v>
      </c>
      <c r="I59" s="366"/>
      <c r="J59" s="368"/>
      <c r="K59" s="291">
        <f>C59*(M62-B60)*(M62-B61)/((B59-B60)*(B59-B61))+C60*(M62-B59)*(M62-B61)/((B60-B59)*(B60-B61))+C61*(M62-B59)*(M62-B60)/((B61-B59)*(B61-B60))</f>
        <v>1.073975284059739</v>
      </c>
      <c r="L59" s="584" t="s">
        <v>9</v>
      </c>
      <c r="M59" s="355">
        <f>IF((M62&gt;0),((100+(G64/-I69))/100))</f>
        <v>0.9977141112669135</v>
      </c>
      <c r="O59" s="380">
        <v>2.6</v>
      </c>
      <c r="P59" s="381">
        <v>2.6</v>
      </c>
      <c r="Q59" s="382">
        <v>2.6</v>
      </c>
      <c r="R59" s="372">
        <f>O59*(R57-P57)*(R57-Q57)/((O57-P57)*(O57-Q57))+P59*(R57-O57)*(R57-Q57)/((P57-O57)*(P57-Q57))+Q59*(R57-O57)*(R57-P57)/((Q57-O57)*(Q57-P57))</f>
        <v>2.599999999999998</v>
      </c>
      <c r="S59" s="322"/>
      <c r="Y59" s="322"/>
      <c r="Z59" s="322"/>
      <c r="AA59" s="322"/>
      <c r="AB59" s="322"/>
      <c r="AC59" s="322"/>
      <c r="AD59" s="322"/>
    </row>
    <row r="60" spans="8:8" customHeight="1">
      <c r="A60" s="611">
        <v>0.85</v>
      </c>
      <c r="B60" s="359">
        <v>232.98</v>
      </c>
      <c r="C60" s="359">
        <v>0.7899</v>
      </c>
      <c r="F60" s="388" t="s">
        <v>90</v>
      </c>
      <c r="G60" s="389">
        <f>G58/J63</f>
        <v>4.736532912880163</v>
      </c>
      <c r="H60" s="593">
        <f>(G60/(Calculadora!$B$3*$AA$1))*Calculadora!$B$5/4</f>
        <v>0.0</v>
      </c>
      <c r="I60" s="366" t="s">
        <v>97</v>
      </c>
      <c r="J60" s="368">
        <f>$AT$1*Calculadora!$B$3*M56*1*(1-(G64*0.016))</f>
        <v>2.6643606704242377</v>
      </c>
      <c r="K60" s="578"/>
      <c r="L60" s="584" t="s">
        <v>10</v>
      </c>
      <c r="M60" s="355">
        <f>IF((M62&gt;0),((100+(G64/-I70))/100))</f>
        <v>0.997362436077208</v>
      </c>
      <c r="N60" s="322"/>
      <c r="O60" s="322"/>
      <c r="P60" s="322"/>
      <c r="Q60" s="322"/>
      <c r="R60" s="322"/>
      <c r="S60" s="322"/>
      <c r="Y60" s="322"/>
      <c r="Z60" s="322"/>
      <c r="AA60" s="322"/>
      <c r="AB60" s="322"/>
      <c r="AC60" s="322"/>
      <c r="AD60" s="322"/>
    </row>
    <row r="61" spans="8:8" customHeight="1">
      <c r="A61" s="611">
        <v>0.8</v>
      </c>
      <c r="B61" s="395">
        <v>219.6</v>
      </c>
      <c r="C61" s="395">
        <v>0.6902</v>
      </c>
      <c r="F61" s="322"/>
      <c r="G61" s="322"/>
      <c r="H61" s="322"/>
      <c r="I61" s="366" t="s">
        <v>98</v>
      </c>
      <c r="J61" s="368">
        <f>$AT$1*Calculadora!$B$3*M56*1.26*(1-(G64*0.016))</f>
        <v>3.3570944447345394</v>
      </c>
      <c r="K61" s="578"/>
      <c r="L61" s="584" t="s">
        <v>105</v>
      </c>
      <c r="M61" s="584">
        <f>M56/4.75*Calculadora!$B$5</f>
        <v>0.0</v>
      </c>
      <c r="N61" s="322"/>
      <c r="O61" s="322"/>
      <c r="P61" s="322"/>
      <c r="Q61" s="322"/>
      <c r="R61" s="322"/>
      <c r="S61" s="322"/>
      <c r="Y61" s="322"/>
      <c r="Z61" s="322"/>
      <c r="AA61" s="322"/>
      <c r="AB61" s="322"/>
      <c r="AC61" s="322"/>
      <c r="AD61" s="322"/>
    </row>
    <row r="62" spans="8:8" customHeight="1">
      <c r="D62" s="636"/>
      <c r="E62" s="636"/>
      <c r="F62" s="338" t="s">
        <v>91</v>
      </c>
      <c r="G62" s="322"/>
      <c r="H62" s="322"/>
      <c r="I62" s="366" t="s">
        <v>99</v>
      </c>
      <c r="J62" s="368">
        <f>(100+(J60*2.75/-4))/100</f>
        <v>0.9816825203908334</v>
      </c>
      <c r="K62" s="578"/>
      <c r="L62" s="584" t="s">
        <v>106</v>
      </c>
      <c r="M62" s="584">
        <f>CC!$U$13</f>
        <v>261.88</v>
      </c>
      <c r="N62" s="322"/>
      <c r="O62" s="322"/>
      <c r="P62" s="322"/>
      <c r="Q62" s="322"/>
      <c r="R62" s="322"/>
      <c r="S62" s="322"/>
      <c r="Y62" s="322"/>
      <c r="Z62" s="322"/>
      <c r="AA62" s="322"/>
      <c r="AB62" s="322"/>
      <c r="AC62" s="322"/>
      <c r="AD62" s="322"/>
    </row>
    <row r="63" spans="8:8" ht="13.5" customHeight="1">
      <c r="A63" s="322"/>
      <c r="B63" s="322"/>
      <c r="C63" s="322"/>
      <c r="D63" s="636"/>
      <c r="E63" s="636"/>
      <c r="F63" s="352"/>
      <c r="G63" s="354"/>
      <c r="H63" s="322"/>
      <c r="I63" s="388" t="s">
        <v>100</v>
      </c>
      <c r="J63" s="402">
        <f>(100+(J61*4/-6.25))/100</f>
        <v>0.978514595553699</v>
      </c>
      <c r="K63" s="578"/>
      <c r="L63" s="322"/>
      <c r="M63" s="322"/>
      <c r="N63" s="322"/>
      <c r="O63" s="322"/>
      <c r="P63" s="322"/>
      <c r="Q63" s="322"/>
      <c r="R63" s="322"/>
      <c r="S63" s="322"/>
      <c r="Y63" s="322"/>
      <c r="Z63" s="322"/>
      <c r="AA63" s="322"/>
      <c r="AB63" s="322"/>
      <c r="AC63" s="322"/>
      <c r="AD63" s="322"/>
    </row>
    <row r="64" spans="8:8" ht="13.5" customHeight="1">
      <c r="A64" s="322"/>
      <c r="B64" s="322"/>
      <c r="C64" s="322"/>
      <c r="D64" s="636"/>
      <c r="E64" s="636"/>
      <c r="F64" s="366" t="s">
        <v>92</v>
      </c>
      <c r="G64" s="368">
        <f>IF(Calculadora!$B$2&gt;0,Calculadora!$B$2*M57,Calculadora!$B$2*M58)</f>
        <v>0.6857666199259355</v>
      </c>
      <c r="H64" s="322"/>
      <c r="I64" s="578"/>
      <c r="J64" s="578"/>
      <c r="L64" s="322"/>
      <c r="M64" s="322"/>
      <c r="N64" s="322"/>
      <c r="O64" s="322"/>
      <c r="P64" s="322"/>
      <c r="S64" s="322"/>
      <c r="T64" s="322"/>
      <c r="U64" s="322"/>
      <c r="Y64" s="322"/>
      <c r="Z64" s="322"/>
      <c r="AA64" s="322"/>
      <c r="AB64" s="322"/>
      <c r="AC64" s="322"/>
      <c r="AD64" s="322"/>
    </row>
    <row r="65" spans="8:8" ht="13.5" customHeight="1">
      <c r="A65" s="322"/>
      <c r="B65" s="322"/>
      <c r="C65" s="322"/>
      <c r="D65" s="636"/>
      <c r="E65" s="636"/>
      <c r="F65" s="388"/>
      <c r="G65" s="402"/>
      <c r="H65" s="322"/>
      <c r="I65" s="352" t="s">
        <v>103</v>
      </c>
      <c r="J65" s="415">
        <f>M62+G64-J60</f>
        <v>259.9014059495018</v>
      </c>
      <c r="K65" s="620">
        <f>G64+M62</f>
        <v>262.5657666199259</v>
      </c>
      <c r="L65" s="322"/>
      <c r="M65" s="412" t="s">
        <v>7</v>
      </c>
      <c r="N65" s="413">
        <v>0.01</v>
      </c>
      <c r="O65" s="414">
        <v>0.625</v>
      </c>
      <c r="P65" s="322"/>
      <c r="Q65" s="412" t="s">
        <v>13</v>
      </c>
      <c r="R65" s="413">
        <v>-0.01</v>
      </c>
      <c r="S65" s="414">
        <v>0.468</v>
      </c>
      <c r="T65" s="322"/>
      <c r="U65" s="322"/>
      <c r="Y65" s="322"/>
      <c r="Z65" s="322"/>
      <c r="AA65" s="322"/>
      <c r="AB65" s="322"/>
      <c r="AC65" s="322"/>
      <c r="AD65" s="322"/>
    </row>
    <row r="66" spans="8:8" customHeight="1">
      <c r="A66" s="322"/>
      <c r="B66" s="322"/>
      <c r="C66" s="322"/>
      <c r="D66" s="636"/>
      <c r="E66" s="636"/>
      <c r="F66" s="578"/>
      <c r="G66" s="578"/>
      <c r="H66" s="322"/>
      <c r="I66" s="388" t="s">
        <v>104</v>
      </c>
      <c r="J66" s="423">
        <f>M62+G64+J61</f>
        <v>265.92286106466054</v>
      </c>
      <c r="K66" s="322"/>
      <c r="L66" s="322"/>
      <c r="M66" s="412" t="s">
        <v>7</v>
      </c>
      <c r="N66" s="413">
        <v>5.0</v>
      </c>
      <c r="O66" s="414">
        <v>0.625</v>
      </c>
      <c r="P66" s="322"/>
      <c r="Q66" s="412" t="s">
        <v>13</v>
      </c>
      <c r="R66" s="413">
        <v>-10.0</v>
      </c>
      <c r="S66" s="414">
        <v>0.468</v>
      </c>
      <c r="T66" s="322"/>
      <c r="U66" s="322"/>
      <c r="Y66" s="322"/>
      <c r="Z66" s="322"/>
      <c r="AA66" s="322"/>
      <c r="AB66" s="322"/>
      <c r="AC66" s="322"/>
      <c r="AD66" s="322"/>
    </row>
    <row r="67" spans="8:8" customHeight="1">
      <c r="A67" s="322"/>
      <c r="B67" s="322"/>
      <c r="C67" s="322"/>
      <c r="D67" s="636"/>
      <c r="E67" s="636"/>
      <c r="F67" s="322"/>
      <c r="G67" s="322"/>
      <c r="H67" s="322"/>
      <c r="I67" s="322"/>
      <c r="J67" s="322"/>
      <c r="K67" s="322"/>
      <c r="L67" s="322"/>
      <c r="M67" s="412" t="s">
        <v>7</v>
      </c>
      <c r="N67" s="413">
        <v>10.0</v>
      </c>
      <c r="O67" s="414">
        <v>0.625</v>
      </c>
      <c r="P67" s="322"/>
      <c r="Q67" s="412" t="s">
        <v>13</v>
      </c>
      <c r="R67" s="413">
        <v>-20.0</v>
      </c>
      <c r="S67" s="414">
        <v>0.468</v>
      </c>
      <c r="T67" s="322"/>
      <c r="U67" s="322"/>
      <c r="Y67" s="322"/>
      <c r="Z67" s="322"/>
      <c r="AA67" s="322"/>
      <c r="AB67" s="322"/>
      <c r="AC67" s="322"/>
      <c r="AD67" s="322"/>
    </row>
    <row r="68" spans="8:8" customHeight="1">
      <c r="A68" s="322"/>
      <c r="B68" s="322"/>
      <c r="C68" s="322"/>
      <c r="D68" s="636"/>
      <c r="E68" s="637" t="s">
        <v>95</v>
      </c>
      <c r="F68" s="584" t="s">
        <v>96</v>
      </c>
      <c r="G68" s="584" t="s">
        <v>77</v>
      </c>
      <c r="H68" s="322"/>
      <c r="I68" s="584" t="s">
        <v>14</v>
      </c>
      <c r="J68" s="584" t="s">
        <v>78</v>
      </c>
      <c r="K68" s="584" t="s">
        <v>15</v>
      </c>
      <c r="L68" s="322"/>
      <c r="M68" s="439" t="s">
        <v>7</v>
      </c>
      <c r="N68" s="338">
        <v>15.0</v>
      </c>
      <c r="O68" s="354">
        <v>0.625</v>
      </c>
      <c r="P68" s="322"/>
      <c r="Q68" s="412" t="s">
        <v>13</v>
      </c>
      <c r="R68" s="338">
        <v>-30.0</v>
      </c>
      <c r="S68" s="414">
        <v>0.468</v>
      </c>
      <c r="T68" s="322"/>
      <c r="U68" s="322"/>
      <c r="Y68" s="322"/>
      <c r="Z68" s="322"/>
      <c r="AA68" s="322"/>
      <c r="AB68" s="322"/>
      <c r="AC68" s="322"/>
      <c r="AD68" s="322"/>
    </row>
    <row r="69" spans="8:8" customHeight="1">
      <c r="D69" s="605" t="s">
        <v>101</v>
      </c>
      <c r="E69" s="638">
        <f>INDEX(Caliper!$L$291:$L$363,(ROUNDUP(((F69-80)/(20/72))+1,0)),1)</f>
        <v>248.1722222222182</v>
      </c>
      <c r="F69" s="446">
        <f>100*(J65-B58)*(J65-B59)*(J65-B60)*(J65-B61)/((B57-B58)*(B57-B59)*(B57-B60)*(B57-B61))+95*(J65-B57)*(J65-B59)*(J65-B60)*(J65-B61)/((B58-B57)*(B58-B59)*(B58-B60)*(B58-B61))+90*(J65-B57)*(J65-B58)*(J65-B60)*(J65-B61)/((B59-B57)*(B59-B58)*(B59-B60)*(B59-B61))+85*(J65-B57)*(J65-B58)*(J65-B59)*(J65-B61)/((B60-B57)*(B60-B58)*(B60-B59)*(B60-B61))+80*(J65-B57)*(J65-B58)*(J65-B59)*(J65-B60)/((B61-B57)*(B61-B58)*(B61-B59)*(B61-B60))</f>
        <v>94.70771929769231</v>
      </c>
      <c r="G69" s="446">
        <f>G59+H59</f>
        <v>4.54986934511259</v>
      </c>
      <c r="H69" s="584" t="s">
        <v>7</v>
      </c>
      <c r="I69" s="584">
        <f>R58</f>
        <v>2.999999999999998</v>
      </c>
      <c r="J69" s="584">
        <v>1.011</v>
      </c>
      <c r="K69" s="355">
        <v>0.625</v>
      </c>
      <c r="L69" s="322"/>
      <c r="M69" s="412" t="s">
        <v>7</v>
      </c>
      <c r="N69" s="413">
        <v>20.0</v>
      </c>
      <c r="O69" s="414">
        <v>0.625</v>
      </c>
      <c r="P69" s="322"/>
      <c r="Q69" s="412" t="s">
        <v>13</v>
      </c>
      <c r="R69" s="413">
        <v>-40.0</v>
      </c>
      <c r="S69" s="414">
        <v>0.468</v>
      </c>
      <c r="T69" s="322"/>
      <c r="U69" s="322"/>
      <c r="V69" s="322"/>
      <c r="W69" s="322"/>
      <c r="X69" s="322"/>
      <c r="Y69" s="322"/>
      <c r="Z69" s="322"/>
      <c r="AA69" s="322"/>
      <c r="AB69" s="322"/>
      <c r="AC69" s="322"/>
      <c r="AD69" s="322"/>
    </row>
    <row r="70" spans="8:8" customHeight="1">
      <c r="D70" s="605" t="s">
        <v>102</v>
      </c>
      <c r="E70" s="638">
        <f>INDEX(Caliper!$L$291:$L$363,(ROUNDUP(((F70-80)/(20/72))+1,0)),1)</f>
        <v>253.99444444444222</v>
      </c>
      <c r="F70" s="446">
        <f>100*(J66-B58)*(J66-B59)*(J66-B60)*(J66-B61)/((B57-B58)*(B57-B59)*(B57-B60)*(B57-B61))+95*(J66-B57)*(J66-B59)*(J66-B60)*(J66-B61)/((B58-B57)*(B58-B59)*(B58-B60)*(B58-B61))+90*(J66-B57)*(J66-B58)*(J66-B60)*(J66-B61)/((B59-B57)*(B59-B58)*(B59-B60)*(B59-B61))+85*(J66-B57)*(J66-B58)*(J66-B59)*(J66-B61)/((B60-B57)*(B60-B58)*(B60-B59)*(B60-B61))+80*(J66-B57)*(J66-B58)*(J66-B59)*(J66-B60)/((B61-B57)*(B61-B58)*(B61-B59)*(B61-B60))</f>
        <v>96.7813815729992</v>
      </c>
      <c r="G70" s="446">
        <f>G60+H60</f>
        <v>4.73653291288016</v>
      </c>
      <c r="H70" s="584" t="s">
        <v>13</v>
      </c>
      <c r="I70" s="584">
        <f>R59</f>
        <v>2.599999999999998</v>
      </c>
      <c r="J70" s="584">
        <v>1.013</v>
      </c>
      <c r="K70" s="355">
        <v>0.468</v>
      </c>
      <c r="L70" s="322"/>
      <c r="M70" s="412" t="s">
        <v>74</v>
      </c>
      <c r="N70" s="413">
        <f>Calculadora!$B$2</f>
        <v>0.95</v>
      </c>
      <c r="O70" s="456">
        <f>O65*(N70-N66)*(N70-N67)*(N70-N68)*(N70-N69)/((N65-N66)*(N65-N67)*(N65-N68)*(N65-N69))+O66*(N70-N65)*(N70-N67)*(N70-N68)*(N70-N69)/((N66-N65)*(N66-N67)*(N66-N68)*(N66-N69))+O67*(N70-N65)*(N70-N66)*(N70-N68)*(N70-N69)/((N67-N65)*(N67-N66)*(N67-N68)*(N67-N69))+O68*(N70-N65)*(N70-N66)*(N70-N67)*(N70-N69)/((N68-N65)*(N68-N66)*(N68-N67)*(N68-N69))+O69*(N70-N65)*(N70-N66)*(N70-N67)*(N70-N68)/((N69-N65)*(N69-N66)*(N69-N67)*(N69-N68))</f>
        <v>0.625</v>
      </c>
      <c r="P70" s="322"/>
      <c r="Q70" s="412" t="s">
        <v>16</v>
      </c>
      <c r="R70" s="413">
        <f>Calculadora!$B$2</f>
        <v>0.95</v>
      </c>
      <c r="S70" s="456">
        <f>S65*(R70-R66)*(R70-R67)*(R70-R68)*(R70-R69)/((R65-R66)*(R65-R67)*(R65-R68)*(R65-R69))+S66*(R70-R65)*(R70-R67)*(R70-R68)*(R70-R69)/((R66-R65)*(R66-R67)*(R66-R68)*(R66-R69))+S67*(R70-R65)*(R70-R66)*(R70-R68)*(R70-R69)/((R67-R65)*(R67-R66)*(R67-R68)*(R67-R69))+S68*(R70-R65)*(R70-R66)*(R70-R67)*(R70-R69)/((R68-R65)*(R68-R66)*(R68-R67)*(R68-R69))+S69*(R70-R65)*(R70-R66)*(R70-R67)*(R70-R68)/((R69-R65)*(R69-R66)*(R69-R67)*(R69-R68))</f>
        <v>0.4680000000000001</v>
      </c>
      <c r="T70" s="322"/>
      <c r="U70" s="322"/>
      <c r="V70" s="322"/>
      <c r="W70" s="322"/>
      <c r="X70" s="322"/>
      <c r="Y70" s="322"/>
      <c r="Z70" s="322"/>
      <c r="AA70" s="322"/>
      <c r="AB70" s="322"/>
      <c r="AC70" s="322"/>
      <c r="AD70" s="322"/>
    </row>
    <row r="71" spans="8:8" customHeight="1">
      <c r="A71" s="636"/>
      <c r="B71" s="636"/>
      <c r="C71" s="636"/>
      <c r="D71" s="636"/>
      <c r="E71" s="636"/>
      <c r="F71" s="322"/>
      <c r="G71" s="322"/>
      <c r="H71" s="322"/>
      <c r="I71" s="322"/>
      <c r="J71" s="322"/>
      <c r="K71" s="322"/>
      <c r="L71" s="322"/>
      <c r="M71" s="322"/>
      <c r="N71" s="322"/>
      <c r="O71" s="322"/>
      <c r="P71" s="322"/>
      <c r="T71" s="322"/>
      <c r="U71" s="322"/>
      <c r="V71" s="322"/>
      <c r="W71" s="322"/>
      <c r="X71" s="322"/>
      <c r="Y71" s="322"/>
      <c r="Z71" s="322"/>
      <c r="AA71" s="322"/>
      <c r="AB71" s="322"/>
      <c r="AC71" s="322"/>
      <c r="AD71" s="322"/>
    </row>
    <row r="72" spans="8:8" customHeight="1">
      <c r="A72" s="597"/>
      <c r="B72" s="598"/>
      <c r="C72" s="598"/>
      <c r="D72" s="598"/>
      <c r="E72" s="598"/>
      <c r="F72" s="598"/>
      <c r="G72" s="598"/>
      <c r="H72" s="598"/>
      <c r="I72" s="598"/>
      <c r="J72" s="598"/>
      <c r="K72" s="598"/>
      <c r="L72" s="598"/>
      <c r="M72" s="598"/>
      <c r="N72" s="598"/>
      <c r="O72" s="598"/>
      <c r="P72" s="598"/>
      <c r="Q72" s="598"/>
      <c r="R72" s="598"/>
      <c r="S72" s="598"/>
      <c r="T72" s="598"/>
      <c r="U72" s="598"/>
      <c r="V72" s="598"/>
      <c r="W72" s="598"/>
      <c r="X72" s="598"/>
      <c r="Y72" s="599"/>
      <c r="Z72" s="322"/>
      <c r="AA72" s="322"/>
      <c r="AB72" s="322"/>
      <c r="AC72" s="322"/>
      <c r="AD72" s="322"/>
    </row>
    <row r="73" spans="8:8" customHeight="1">
      <c r="A73" s="636"/>
      <c r="B73" s="636"/>
      <c r="C73" s="636"/>
      <c r="D73" s="636"/>
      <c r="E73" s="636"/>
      <c r="F73" s="322"/>
      <c r="G73" s="322"/>
      <c r="H73" s="322"/>
      <c r="I73" s="322"/>
      <c r="J73" s="322"/>
      <c r="K73" s="322"/>
      <c r="L73" s="322"/>
      <c r="M73" s="322"/>
      <c r="N73" s="322"/>
      <c r="O73" s="322"/>
      <c r="P73" s="322"/>
      <c r="Q73" s="322"/>
      <c r="R73" s="322"/>
      <c r="S73" s="322"/>
      <c r="T73" s="601"/>
      <c r="U73" s="601"/>
      <c r="V73" s="601"/>
      <c r="W73" s="601"/>
      <c r="X73" s="601"/>
      <c r="Y73" s="601"/>
      <c r="Z73" s="601"/>
      <c r="AA73" s="601"/>
      <c r="AB73" s="601"/>
      <c r="AC73" s="601"/>
      <c r="AD73" s="601"/>
      <c r="AE73" s="603"/>
      <c r="AF73" s="603"/>
      <c r="AG73" s="603"/>
      <c r="AH73" s="603"/>
      <c r="AI73" s="603"/>
    </row>
    <row r="74" spans="8:8" ht="13.5" customHeight="1">
      <c r="A74" s="639" t="s">
        <v>128</v>
      </c>
      <c r="B74" s="611">
        <v>1.0</v>
      </c>
      <c r="C74" s="611">
        <v>0.95</v>
      </c>
      <c r="D74" s="611">
        <v>0.9</v>
      </c>
      <c r="E74" s="611">
        <v>0.85</v>
      </c>
      <c r="F74" s="338" t="s">
        <v>77</v>
      </c>
      <c r="G74" s="322"/>
      <c r="H74" s="322"/>
      <c r="I74" s="584" t="s">
        <v>93</v>
      </c>
      <c r="J74" s="578"/>
      <c r="K74" s="322">
        <f>B76*(M80-C75)*(M80-D75)*(M80-E75)*(M80-B78)/((B75-C75)*(B75-D75)*(B75-E75)*(B75-B78))+C76*(M80-B75)*(M80-D75)*(M80-E75)*(M80-B78)/((C75-B75)*(C75-D75)*(C75-E75)*(C75-B78))+D76*(M80-B75)*(M80-C75)*(M80-E75)*(M80-B78)/((D75-B75)*(D75-C75)*(D75-E75)*(D75-B78))+E76*(M80-B75)*(M80-C75)*(M80-D75)*(M80-B78)/((E75-B75)*(E75-C75)*(E75-D75)*(E75-B78))+B79*(M80-B75)*(M80-C75)*(M80-D75)*(M80-E75)/((B78-B75)*(B78-C75)*(B78-D75)*(B78-E75))</f>
        <v>1.5009782236159743</v>
      </c>
      <c r="L74" s="584" t="s">
        <v>77</v>
      </c>
      <c r="M74" s="584">
        <f>K74</f>
        <v>1.5009782236159743</v>
      </c>
      <c r="N74" s="322"/>
      <c r="O74" s="342" t="s">
        <v>14</v>
      </c>
      <c r="S74" s="322"/>
      <c r="U74" s="611">
        <v>1.0</v>
      </c>
      <c r="V74" s="611">
        <v>0.95</v>
      </c>
      <c r="W74" s="611">
        <v>0.9</v>
      </c>
      <c r="X74" s="611">
        <v>0.85</v>
      </c>
      <c r="Y74" s="601"/>
      <c r="Z74" s="601"/>
      <c r="AA74" s="601"/>
      <c r="AB74" s="601"/>
      <c r="AC74" s="601"/>
      <c r="AD74" s="601"/>
      <c r="AE74" s="601"/>
      <c r="AF74" s="601"/>
      <c r="AG74" s="601"/>
      <c r="AH74" s="601"/>
      <c r="AI74" s="603"/>
    </row>
    <row r="75" spans="8:8" customHeight="1">
      <c r="A75" s="637" t="s">
        <v>86</v>
      </c>
      <c r="B75" s="640">
        <v>239.5</v>
      </c>
      <c r="C75" s="641">
        <v>224.08</v>
      </c>
      <c r="D75" s="640">
        <v>208.7</v>
      </c>
      <c r="E75" s="642">
        <v>193.98</v>
      </c>
      <c r="F75" s="352" t="s">
        <v>87</v>
      </c>
      <c r="G75" s="353">
        <f>M74*$AA$1*Calculadora!$B$3</f>
        <v>6.492210208999025</v>
      </c>
      <c r="H75" s="322"/>
      <c r="I75" s="352"/>
      <c r="J75" s="354"/>
      <c r="K75" s="578"/>
      <c r="L75" s="584" t="s">
        <v>7</v>
      </c>
      <c r="M75" s="355">
        <f>L87*POWER(K87,(B75-M80))</f>
        <v>0.4983803358671282</v>
      </c>
      <c r="N75" s="322"/>
      <c r="O75" s="356">
        <f>B75</f>
        <v>239.5</v>
      </c>
      <c r="P75" s="357">
        <f>D75</f>
        <v>208.7</v>
      </c>
      <c r="Q75" s="356">
        <f>B78</f>
        <v>179.3</v>
      </c>
      <c r="R75" s="358">
        <f>K83</f>
        <v>262.35346131907374</v>
      </c>
      <c r="U75" s="640">
        <v>239.5</v>
      </c>
      <c r="V75" s="641">
        <v>224.1</v>
      </c>
      <c r="W75" s="640">
        <v>208.7</v>
      </c>
      <c r="X75" s="642">
        <v>193.98</v>
      </c>
      <c r="Z75" s="602"/>
      <c r="AA75" s="601"/>
      <c r="AB75" s="601"/>
      <c r="AC75" s="601"/>
      <c r="AD75" s="601"/>
      <c r="AE75" s="601"/>
      <c r="AF75" s="602"/>
      <c r="AG75" s="601"/>
      <c r="AH75" s="601"/>
      <c r="AI75" s="603"/>
    </row>
    <row r="76" spans="8:8" customHeight="1">
      <c r="A76" s="643" t="s">
        <v>77</v>
      </c>
      <c r="B76" s="644">
        <v>1.1211</v>
      </c>
      <c r="C76" s="644">
        <v>0.9388</v>
      </c>
      <c r="D76" s="644">
        <v>0.7872</v>
      </c>
      <c r="E76" s="645">
        <v>0.6594</v>
      </c>
      <c r="F76" s="366" t="s">
        <v>88</v>
      </c>
      <c r="G76" s="367">
        <f>IF(G82&gt;0,G75*M77,G75*M78)</f>
        <v>6.480946496061248</v>
      </c>
      <c r="H76" s="322"/>
      <c r="I76" s="366" t="s">
        <v>94</v>
      </c>
      <c r="J76" s="368">
        <f>M74*Calculadora!$B$3*$AA$2</f>
        <v>3.7649166387056936</v>
      </c>
      <c r="K76" s="578"/>
      <c r="L76" s="584" t="s">
        <v>8</v>
      </c>
      <c r="M76" s="355">
        <f>L88*POWER(K88,(B75-M80))</f>
        <v>0.4908352527907511</v>
      </c>
      <c r="N76" s="322"/>
      <c r="O76" s="370">
        <v>2.8</v>
      </c>
      <c r="P76" s="371">
        <v>2.9</v>
      </c>
      <c r="Q76" s="357">
        <v>3.0</v>
      </c>
      <c r="R76" s="372">
        <f>O76*(R75-P75)*(R75-Q75)/((O75-P75)*(O75-Q75))+P76*(R75-O75)*(R75-Q75)/((P75-O75)*(P75-Q75))+Q76*(R75-O75)*(R75-P75)/((Q75-O75)*(Q75-P75))</f>
        <v>2.728949526889645</v>
      </c>
      <c r="U76" s="644">
        <v>1.1203</v>
      </c>
      <c r="V76" s="644">
        <v>0.9362</v>
      </c>
      <c r="W76" s="644">
        <v>0.7872</v>
      </c>
      <c r="X76" s="645">
        <v>0.6594</v>
      </c>
      <c r="Z76" s="602"/>
      <c r="AA76" s="601"/>
      <c r="AB76" s="601"/>
      <c r="AC76" s="601"/>
      <c r="AD76" s="601"/>
      <c r="AE76" s="601"/>
      <c r="AF76" s="602"/>
      <c r="AG76" s="601"/>
      <c r="AH76" s="601"/>
      <c r="AI76" s="603"/>
    </row>
    <row r="77" spans="8:8" customHeight="1">
      <c r="A77" s="636"/>
      <c r="B77" s="611">
        <v>0.8</v>
      </c>
      <c r="C77" s="611">
        <v>0.7</v>
      </c>
      <c r="D77" s="611">
        <v>0.6</v>
      </c>
      <c r="E77" s="646"/>
      <c r="F77" s="366" t="s">
        <v>89</v>
      </c>
      <c r="G77" s="367">
        <f>G76*J80</f>
        <v>6.314465742700268</v>
      </c>
      <c r="H77" s="593">
        <f>(G77/(Calculadora!$B$3*$AA$1))*Calculadora!$B$5/4</f>
        <v>0.0</v>
      </c>
      <c r="I77" s="366"/>
      <c r="J77" s="368"/>
      <c r="K77" s="578"/>
      <c r="L77" s="584" t="s">
        <v>9</v>
      </c>
      <c r="M77" s="355">
        <f>IF((M80&gt;0),((100+(G82/-J87))/100))</f>
        <v>0.9982650418616815</v>
      </c>
      <c r="N77" s="322"/>
      <c r="O77" s="380">
        <v>2.8</v>
      </c>
      <c r="P77" s="381">
        <v>2.7</v>
      </c>
      <c r="Q77" s="382">
        <v>2.6</v>
      </c>
      <c r="R77" s="372">
        <f>O77*(R75-P75)*(R75-Q75)/((O75-P75)*(O75-Q75))+P77*(R75-O75)*(R75-Q75)/((P75-O75)*(P75-Q75))+Q77*(R75-O75)*(R75-P75)/((Q75-O75)*(Q75-P75))</f>
        <v>2.87105047311036</v>
      </c>
      <c r="U77" s="611">
        <v>0.8</v>
      </c>
      <c r="V77" s="646"/>
      <c r="W77" s="646"/>
      <c r="X77" s="646"/>
      <c r="Y77" s="647"/>
      <c r="Z77" s="647"/>
      <c r="AA77" s="647"/>
      <c r="AB77" s="601"/>
      <c r="AC77" s="601"/>
      <c r="AD77" s="601"/>
      <c r="AE77" s="601"/>
      <c r="AF77" s="602"/>
      <c r="AG77" s="601"/>
      <c r="AH77" s="601"/>
      <c r="AI77" s="603"/>
    </row>
    <row r="78" spans="8:8" ht="13.5" customHeight="1">
      <c r="A78" s="648"/>
      <c r="B78" s="640">
        <v>179.3</v>
      </c>
      <c r="C78" s="649">
        <v>152.3</v>
      </c>
      <c r="D78" s="649">
        <v>128.0</v>
      </c>
      <c r="E78" s="646"/>
      <c r="F78" s="388" t="s">
        <v>90</v>
      </c>
      <c r="G78" s="389">
        <f>G76/J81</f>
        <v>6.682285750524928</v>
      </c>
      <c r="H78" s="593">
        <f>(G78/(Calculadora!$B$3*$AA$1))*Calculadora!$B$5/4</f>
        <v>0.0</v>
      </c>
      <c r="I78" s="366" t="s">
        <v>97</v>
      </c>
      <c r="J78" s="368">
        <f>$AT$1*Calculadora!$B$3*M74*1*(1-(G82*0.016))</f>
        <v>3.7363959603382635</v>
      </c>
      <c r="K78" s="578"/>
      <c r="L78" s="584" t="s">
        <v>10</v>
      </c>
      <c r="M78" s="355">
        <f>IF((M80&gt;0),((100+(G82/-J88))/100))</f>
        <v>0.9983509125892835</v>
      </c>
      <c r="N78" s="322"/>
      <c r="U78" s="640">
        <v>179.3</v>
      </c>
      <c r="V78" s="646"/>
      <c r="W78" s="646"/>
      <c r="X78" s="646"/>
      <c r="Y78" s="647"/>
      <c r="Z78" s="647"/>
      <c r="AA78" s="647"/>
      <c r="AB78" s="601"/>
      <c r="AC78" s="601"/>
      <c r="AD78" s="601"/>
      <c r="AE78" s="601"/>
      <c r="AF78" s="602"/>
      <c r="AG78" s="601"/>
      <c r="AH78" s="601"/>
      <c r="AI78" s="603"/>
    </row>
    <row r="79" spans="8:8" ht="13.5" customHeight="1">
      <c r="A79" s="648"/>
      <c r="B79" s="644">
        <v>0.5523</v>
      </c>
      <c r="C79" s="650">
        <v>0.3966</v>
      </c>
      <c r="D79" s="650">
        <v>0.2882</v>
      </c>
      <c r="E79" s="651"/>
      <c r="F79" s="322"/>
      <c r="G79" s="322"/>
      <c r="H79" s="322"/>
      <c r="I79" s="366" t="s">
        <v>98</v>
      </c>
      <c r="J79" s="368">
        <f>$AT$1*Calculadora!$B$3*M74*1.26*(1-(G82*0.016))</f>
        <v>4.7078589100262125</v>
      </c>
      <c r="K79" s="578"/>
      <c r="L79" s="584" t="s">
        <v>105</v>
      </c>
      <c r="M79" s="584">
        <f>M74/4*Calculadora!$B$5</f>
        <v>0.0</v>
      </c>
      <c r="N79" s="322"/>
      <c r="U79" s="644">
        <v>0.5523</v>
      </c>
      <c r="V79" s="646"/>
      <c r="W79" s="651"/>
      <c r="X79" s="651"/>
      <c r="Y79" s="647"/>
      <c r="Z79" s="647"/>
      <c r="AA79" s="647"/>
      <c r="AB79" s="601"/>
      <c r="AC79" s="601"/>
      <c r="AD79" s="601"/>
      <c r="AE79" s="601"/>
      <c r="AF79" s="601"/>
      <c r="AG79" s="601"/>
      <c r="AH79" s="601"/>
      <c r="AI79" s="603"/>
    </row>
    <row r="80" spans="8:8" customHeight="1">
      <c r="A80" s="648"/>
      <c r="B80" s="627"/>
      <c r="C80" s="627"/>
      <c r="D80" s="652"/>
      <c r="E80" s="653"/>
      <c r="F80" s="338" t="s">
        <v>91</v>
      </c>
      <c r="G80" s="322"/>
      <c r="H80" s="322"/>
      <c r="I80" s="366" t="s">
        <v>99</v>
      </c>
      <c r="J80" s="368">
        <f>(100+(J78*2.75/-4))/100</f>
        <v>0.9743122777726744</v>
      </c>
      <c r="K80" s="578"/>
      <c r="L80" s="584" t="s">
        <v>106</v>
      </c>
      <c r="M80" s="584">
        <f>$W$13</f>
        <v>261.88</v>
      </c>
      <c r="N80" s="322"/>
      <c r="Y80" s="647"/>
      <c r="Z80" s="647"/>
      <c r="AA80" s="647"/>
      <c r="AB80" s="601"/>
      <c r="AC80" s="601"/>
      <c r="AD80" s="601"/>
      <c r="AE80" s="601"/>
      <c r="AF80" s="601"/>
      <c r="AG80" s="601"/>
      <c r="AH80" s="601"/>
      <c r="AI80" s="603"/>
    </row>
    <row r="81" spans="8:8" customHeight="1">
      <c r="A81" s="648"/>
      <c r="B81" s="654"/>
      <c r="C81" s="654"/>
      <c r="D81" s="654"/>
      <c r="E81" s="653"/>
      <c r="F81" s="352"/>
      <c r="G81" s="354"/>
      <c r="H81" s="322"/>
      <c r="I81" s="388" t="s">
        <v>100</v>
      </c>
      <c r="J81" s="402">
        <f>(100+(J79*4/-6.25))/100</f>
        <v>0.9698697029758323</v>
      </c>
      <c r="L81" s="322"/>
      <c r="M81" s="322"/>
      <c r="N81" s="322"/>
      <c r="O81" s="322"/>
      <c r="P81" s="322"/>
      <c r="Y81" s="647"/>
      <c r="Z81" s="647"/>
      <c r="AA81" s="647"/>
      <c r="AB81" s="601"/>
      <c r="AC81" s="601"/>
      <c r="AD81" s="603"/>
      <c r="AE81" s="601"/>
      <c r="AF81" s="601"/>
      <c r="AG81" s="601"/>
      <c r="AH81" s="601"/>
      <c r="AI81" s="603"/>
    </row>
    <row r="82" spans="8:8" customHeight="1">
      <c r="A82" s="648"/>
      <c r="E82" s="653"/>
      <c r="F82" s="366" t="s">
        <v>92</v>
      </c>
      <c r="G82" s="368">
        <f>IF(Calculadora!$B$2&gt;0,Calculadora!$B$2*M75,Calculadora!$B$2*M76)</f>
        <v>0.47346131907377176</v>
      </c>
      <c r="H82" s="322"/>
      <c r="I82" s="578"/>
      <c r="J82" s="578"/>
      <c r="L82" s="322"/>
      <c r="M82" s="584" t="s">
        <v>17</v>
      </c>
      <c r="N82" s="619"/>
      <c r="O82" s="354"/>
      <c r="P82" s="322"/>
      <c r="Q82" s="412" t="s">
        <v>7</v>
      </c>
      <c r="R82" s="413">
        <v>0.01</v>
      </c>
      <c r="S82" s="634">
        <v>0.662</v>
      </c>
      <c r="U82" s="412" t="s">
        <v>13</v>
      </c>
      <c r="V82" s="413">
        <v>-0.01</v>
      </c>
      <c r="W82" s="634">
        <v>0.636</v>
      </c>
      <c r="Y82" s="647"/>
      <c r="Z82" s="647"/>
      <c r="AA82" s="647"/>
      <c r="AB82" s="601"/>
      <c r="AC82" s="601"/>
      <c r="AD82" s="655"/>
      <c r="AE82" s="601"/>
      <c r="AF82" s="601"/>
      <c r="AG82" s="601"/>
      <c r="AH82" s="601"/>
      <c r="AI82" s="603"/>
    </row>
    <row r="83" spans="8:8" customHeight="1">
      <c r="A83" s="412">
        <v>100.0</v>
      </c>
      <c r="B83" s="413">
        <f>B75</f>
        <v>239.5</v>
      </c>
      <c r="C83" s="634">
        <v>1.0</v>
      </c>
      <c r="E83" s="653"/>
      <c r="F83" s="388"/>
      <c r="G83" s="402"/>
      <c r="H83" s="322"/>
      <c r="I83" s="352" t="s">
        <v>103</v>
      </c>
      <c r="J83" s="415">
        <f>M80+G82-J78</f>
        <v>258.6170653587357</v>
      </c>
      <c r="K83" s="656">
        <f>M80+G82</f>
        <v>262.35346131907374</v>
      </c>
      <c r="L83" s="322"/>
      <c r="M83" s="366">
        <f>MOD(F87,20/72)</f>
        <v>0.0022688521812754825</v>
      </c>
      <c r="N83" s="657">
        <f>MOD(F88,20/72)</f>
        <v>0.1782867917608808</v>
      </c>
      <c r="O83" s="368"/>
      <c r="P83" s="322"/>
      <c r="Q83" s="412" t="s">
        <v>7</v>
      </c>
      <c r="R83" s="413">
        <v>5.0</v>
      </c>
      <c r="S83" s="634">
        <v>0.666</v>
      </c>
      <c r="U83" s="412" t="s">
        <v>13</v>
      </c>
      <c r="V83" s="413">
        <v>-10.0</v>
      </c>
      <c r="W83" s="634">
        <v>0.625</v>
      </c>
      <c r="Y83" s="647"/>
      <c r="Z83" s="647"/>
      <c r="AA83" s="647"/>
      <c r="AB83" s="601"/>
      <c r="AC83" s="655"/>
      <c r="AD83" s="601"/>
      <c r="AE83" s="601"/>
      <c r="AF83" s="601"/>
      <c r="AG83" s="601"/>
      <c r="AH83" s="601"/>
      <c r="AI83" s="603"/>
    </row>
    <row r="84" spans="8:8" customHeight="1">
      <c r="A84" s="412">
        <v>90.0</v>
      </c>
      <c r="B84" s="413">
        <f>D75</f>
        <v>208.7</v>
      </c>
      <c r="C84" s="634">
        <v>0.965</v>
      </c>
      <c r="D84" s="636"/>
      <c r="H84" s="322"/>
      <c r="I84" s="388" t="s">
        <v>104</v>
      </c>
      <c r="J84" s="423">
        <f>M80+G82+J79</f>
        <v>267.0613202291002</v>
      </c>
      <c r="K84" s="322"/>
      <c r="L84" s="322"/>
      <c r="M84" s="366">
        <f>M83/(20/72)</f>
        <v>0.008167867852591737</v>
      </c>
      <c r="N84" s="657">
        <f>N83/(20/72)</f>
        <v>0.6418324503391709</v>
      </c>
      <c r="O84" s="368"/>
      <c r="P84" s="322"/>
      <c r="Q84" s="412" t="s">
        <v>7</v>
      </c>
      <c r="R84" s="413">
        <v>10.0</v>
      </c>
      <c r="S84" s="634">
        <v>0.67</v>
      </c>
      <c r="U84" s="412" t="s">
        <v>13</v>
      </c>
      <c r="V84" s="413">
        <v>-20.0</v>
      </c>
      <c r="W84" s="634">
        <v>0.615</v>
      </c>
      <c r="Y84" s="647"/>
      <c r="Z84" s="647"/>
      <c r="AA84" s="647"/>
      <c r="AB84" s="601"/>
      <c r="AC84" s="655"/>
      <c r="AD84" s="601"/>
      <c r="AE84" s="601"/>
      <c r="AF84" s="601"/>
      <c r="AG84" s="601"/>
      <c r="AH84" s="601"/>
      <c r="AI84" s="603"/>
    </row>
    <row r="85" spans="8:8" customHeight="1">
      <c r="A85" s="412">
        <v>80.0</v>
      </c>
      <c r="B85" s="413">
        <f>B78</f>
        <v>179.3</v>
      </c>
      <c r="C85" s="634">
        <v>0.93</v>
      </c>
      <c r="D85" s="636"/>
      <c r="G85" s="322"/>
      <c r="H85" s="322"/>
      <c r="I85" s="322"/>
      <c r="J85" s="322"/>
      <c r="K85" s="322">
        <v>0.0125</v>
      </c>
      <c r="L85" s="322"/>
      <c r="M85" s="366">
        <f>IF(M84&lt;0.288,ROUNDDOWN(M84,0),ROUNDUP(M84,0))</f>
        <v>0.0</v>
      </c>
      <c r="N85" s="657">
        <f>IF(N84&lt;0.288,ROUNDDOWN(N84,0),ROUNDUP(N84,0))</f>
        <v>1.0</v>
      </c>
      <c r="O85" s="368"/>
      <c r="P85" s="322"/>
      <c r="Q85" s="439" t="s">
        <v>7</v>
      </c>
      <c r="R85" s="338">
        <v>15.0</v>
      </c>
      <c r="S85" s="634">
        <v>0.674</v>
      </c>
      <c r="U85" s="412" t="s">
        <v>13</v>
      </c>
      <c r="V85" s="338">
        <v>-30.0</v>
      </c>
      <c r="W85" s="353">
        <v>0.595</v>
      </c>
      <c r="Y85" s="647"/>
      <c r="Z85" s="647"/>
      <c r="AA85" s="647"/>
      <c r="AB85" s="601"/>
      <c r="AC85" s="601"/>
      <c r="AD85" s="601"/>
      <c r="AE85" s="601"/>
      <c r="AF85" s="601"/>
      <c r="AG85" s="601"/>
      <c r="AH85" s="601"/>
      <c r="AI85" s="603"/>
    </row>
    <row r="86" spans="8:8" customHeight="1">
      <c r="A86" s="439">
        <v>70.0</v>
      </c>
      <c r="B86" s="338">
        <f>C78</f>
        <v>152.3</v>
      </c>
      <c r="C86" s="634">
        <v>0.895</v>
      </c>
      <c r="D86" s="636"/>
      <c r="E86" s="637" t="s">
        <v>95</v>
      </c>
      <c r="F86" s="584" t="s">
        <v>96</v>
      </c>
      <c r="G86" s="584" t="s">
        <v>77</v>
      </c>
      <c r="H86" s="584" t="s">
        <v>18</v>
      </c>
      <c r="I86" s="322"/>
      <c r="J86" s="584" t="s">
        <v>14</v>
      </c>
      <c r="K86" s="584" t="s">
        <v>78</v>
      </c>
      <c r="L86" s="444" t="s">
        <v>15</v>
      </c>
      <c r="M86" s="366"/>
      <c r="N86" s="657"/>
      <c r="O86" s="368"/>
      <c r="P86" s="322"/>
      <c r="Q86" s="412" t="s">
        <v>7</v>
      </c>
      <c r="R86" s="413">
        <v>20.0</v>
      </c>
      <c r="S86" s="634">
        <v>0.678</v>
      </c>
      <c r="U86" s="412" t="s">
        <v>13</v>
      </c>
      <c r="V86" s="413">
        <v>-40.0</v>
      </c>
      <c r="W86" s="634">
        <v>0.578</v>
      </c>
      <c r="Y86" s="647"/>
      <c r="Z86" s="647"/>
      <c r="AA86" s="647"/>
      <c r="AB86" s="601"/>
      <c r="AC86" s="601"/>
      <c r="AD86" s="601"/>
      <c r="AE86" s="601"/>
      <c r="AF86" s="601"/>
      <c r="AG86" s="601"/>
      <c r="AH86" s="601"/>
      <c r="AI86" s="603"/>
    </row>
    <row r="87" spans="8:8" customHeight="1">
      <c r="A87" s="412">
        <v>60.0</v>
      </c>
      <c r="B87" s="413">
        <f>D78</f>
        <v>128.0</v>
      </c>
      <c r="C87" s="634">
        <v>0.86</v>
      </c>
      <c r="D87" s="658" t="s">
        <v>0</v>
      </c>
      <c r="E87" s="638" t="e">
        <f>IF(M85=0,INDEX(Caliper!H183:H363,(ROUNDDOWN(((F87-50)/(20/72)+1),0)),1),INDEX(Caliper!H183:H363,(ROUNDUP(((F87-50)/(20/72))+1,0)),1))</f>
        <v>#REF!</v>
      </c>
      <c r="F87" s="446">
        <f>100*(J83-C75)*(J83-D75)*(J83-E75)*(J83-B78)/((B75-C75)*(B75-D75)*(B75-E75)*(B75-B78))+95*(J83-B75)*(J83-D75)*(J83-E75)*(J83-B78)/((C75-B75)*(C75-D75)*(C75-E75)*(C75-B78))+90*(J83-B75)*(J83-C75)*(J83-E75)*(J83-B78)/((D75-B75)*(D75-C75)*(D75-E75)*(D75-B78))+85*(J83-B75)*(J83-C75)*(J83-D75)*(J83-B78)/((E75-B75)*(E75-C75)*(E75-D75)*(E75-B78))+80*(J83-B75)*(J83-C75)*(J83-D75)*(J83-E75)/((B78-B75)*(B78-C75)*(B78-D75)*(B78-E75))</f>
        <v>107.2244910744035</v>
      </c>
      <c r="G87" s="446">
        <f>G77+H77</f>
        <v>6.31446574270027</v>
      </c>
      <c r="H87" s="584">
        <f>N87</f>
        <v>11.0</v>
      </c>
      <c r="I87" s="414" t="s">
        <v>7</v>
      </c>
      <c r="J87" s="659">
        <f>R76</f>
        <v>2.728949526889645</v>
      </c>
      <c r="K87" s="660">
        <f>1+K85*C88</f>
        <v>1.0128178923994644</v>
      </c>
      <c r="L87" s="625">
        <f>S87</f>
        <v>0.662754746068178</v>
      </c>
      <c r="M87" s="338" t="s">
        <v>19</v>
      </c>
      <c r="N87" s="352">
        <f>IF(M83&lt;0.08,11,N88)</f>
        <v>11.0</v>
      </c>
      <c r="O87" s="354">
        <f>IF(N83&lt;0.08,11,O88)</f>
        <v>10.0</v>
      </c>
      <c r="P87" s="322"/>
      <c r="Q87" s="412" t="s">
        <v>74</v>
      </c>
      <c r="R87" s="413">
        <f>Calculadora!$B$2</f>
        <v>0.95</v>
      </c>
      <c r="S87" s="456">
        <f>S82*(R87-R83)*(R87-R84)*(R87-R85)*(R87-R86)/((R82-R83)*(R82-R84)*(R82-R85)*(R82-R86))+S83*(R87-R82)*(R87-R84)*(R87-R85)*(R87-R86)/((R83-R82)*(R83-R84)*(R83-R85)*(R83-R86))+S84*(R87-R82)*(R87-R83)*(R87-R85)*(R87-R86)/((R84-R82)*(R84-R83)*(R84-R85)*(R84-R86))+S85*(R87-R82)*(R87-R83)*(R87-R84)*(R87-R86)/((R85-R82)*(R85-R83)*(R85-R84)*(R85-R86))+S86*(R87-R82)*(R87-R83)*(R87-R84)*(R87-R85)/((R86-R82)*(R86-R83)*(R86-R84)*(R86-R85))</f>
        <v>0.662754746068178</v>
      </c>
      <c r="U87" s="412" t="s">
        <v>16</v>
      </c>
      <c r="V87" s="413">
        <f>Calculadora!$B$2</f>
        <v>0.95</v>
      </c>
      <c r="W87" s="456">
        <f>W82*(V87-V83)*(V87-V84)*(V87-V85)*(V87-V86)/((V82-V83)*(V82-V84)*(V82-V85)*(V82-V86))+W83*(V87-V82)*(V87-V84)*(V87-V85)*(V87-V86)/((V83-V82)*(V83-V84)*(V83-V85)*(V83-V86))+W84*(V87-V82)*(V87-V83)*(V87-V85)*(V87-V86)/((V84-V82)*(V84-V83)*(V84-V85)*(V84-V86))+W85*(V87-V82)*(V87-V83)*(V87-V84)*(V87-V86)/((V85-V82)*(V85-V83)*(V85-V84)*(V85-V86))+W86*(V87-V82)*(V87-V83)*(V87-V84)*(V87-V85)/((V86-V82)*(V86-V83)*(V86-V84)*(V86-V85))</f>
        <v>0.6381967308756654</v>
      </c>
      <c r="Y87" s="647"/>
      <c r="Z87" s="647"/>
      <c r="AA87" s="647"/>
      <c r="AB87" s="601"/>
      <c r="AC87" s="601"/>
      <c r="AD87" s="601"/>
      <c r="AE87" s="602"/>
      <c r="AF87" s="601"/>
      <c r="AG87" s="601"/>
      <c r="AH87" s="601"/>
      <c r="AI87" s="603"/>
    </row>
    <row r="88" spans="8:8" customHeight="1">
      <c r="A88" s="412" t="s">
        <v>321</v>
      </c>
      <c r="B88" s="413">
        <f>M80</f>
        <v>261.88</v>
      </c>
      <c r="C88" s="456">
        <f>C83*(B88-B84)*(B88-B85)*(B88-B86)*(B88-B87)/((B83-B84)*(B83-B85)*(B83-B86)*(B83-B87))+C84*(B88-B83)*(B88-B85)*(B88-B86)*(B88-B87)/((B84-B83)*(B84-B85)*(B84-B86)*(B84-B87))+C85*(B88-B83)*(B88-B84)*(B88-B86)*(B88-B87)/((B85-B83)*(B85-B84)*(B85-B86)*(B85-B87))+C86*(B88-B83)*(B88-B84)*(B88-B85)*(B88-B87)/((B86-B83)*(B86-B84)*(B86-B85)*(B86-B87))+C87*(B88-B83)*(B88-B84)*(B88-B85)*(B88-B86)/((B87-B83)*(B87-B84)*(B87-B85)*(B87-B86))</f>
        <v>1.025431391957141</v>
      </c>
      <c r="D88" s="661" t="s">
        <v>1</v>
      </c>
      <c r="E88" s="638" t="e">
        <f>IF(N85=0,INDEX(Caliper!H183:H363,(ROUNDDOWN(((F88-50)/(20/72)+1),0)),1),INDEX(Caliper!H183:H363,(ROUNDUP(((F88-50)/(20/72))+1,0)),1))</f>
        <v>#REF!</v>
      </c>
      <c r="F88" s="446">
        <f>100*(J84-C75)*(J84-D75)*(J84-E75)*(J84-B78)/((B75-C75)*(B75-D75)*(B75-E75)*(B75-B78))+95*(J84-B75)*(J84-D75)*(J84-E75)*(J84-B78)/((C75-B75)*(C75-D75)*(C75-E75)*(C75-B78))+90*(J84-B75)*(J84-C75)*(J84-E75)*(J84-B78)/((D75-B75)*(D75-C75)*(D75-E75)*(D75-B78))+85*(J84-B75)*(J84-C75)*(J84-D75)*(J84-B78)/((E75-B75)*(E75-C75)*(E75-D75)*(E75-B78))+80*(J84-B75)*(J84-C75)*(J84-D75)*(J84-E75)/((B78-B75)*(B78-C75)*(B78-D75)*(B78-E75))</f>
        <v>111.289397902872</v>
      </c>
      <c r="G88" s="446">
        <f>G78+H78</f>
        <v>6.68228575052493</v>
      </c>
      <c r="H88" s="584">
        <f>O87</f>
        <v>10.0</v>
      </c>
      <c r="I88" s="584" t="s">
        <v>13</v>
      </c>
      <c r="J88" s="659">
        <f>R77</f>
        <v>2.87105047311036</v>
      </c>
      <c r="K88" s="448">
        <v>1.0118</v>
      </c>
      <c r="L88" s="625">
        <f>W87</f>
        <v>0.6381967308756654</v>
      </c>
      <c r="M88" s="425"/>
      <c r="N88" s="388">
        <f>IF(M83&gt;(20/72)-0.08,11,10)</f>
        <v>10.0</v>
      </c>
      <c r="O88" s="402">
        <f>IF(N83&gt;(20/72)-0.08,11,10)</f>
        <v>10.0</v>
      </c>
      <c r="P88" s="322"/>
      <c r="Y88" s="647"/>
      <c r="Z88" s="647"/>
      <c r="AA88" s="647"/>
      <c r="AB88" s="601"/>
      <c r="AC88" s="601"/>
      <c r="AD88" s="601"/>
      <c r="AE88" s="602"/>
      <c r="AF88" s="601"/>
      <c r="AG88" s="601"/>
      <c r="AH88" s="601"/>
      <c r="AI88" s="603"/>
    </row>
    <row r="89" spans="8:8" ht="13.5" customHeight="1">
      <c r="A89" s="654"/>
      <c r="B89" s="654"/>
      <c r="C89" s="648"/>
      <c r="D89" s="636"/>
      <c r="E89" s="636"/>
      <c r="F89" s="322"/>
      <c r="G89" s="322"/>
      <c r="H89" s="322"/>
      <c r="I89" s="322"/>
      <c r="J89" s="322"/>
      <c r="K89" s="322"/>
      <c r="L89" s="322"/>
      <c r="M89" s="322"/>
      <c r="N89" s="322"/>
      <c r="O89" s="322"/>
      <c r="P89" s="322"/>
      <c r="S89" s="578"/>
      <c r="T89" s="578"/>
      <c r="U89" s="662"/>
      <c r="Y89" s="647"/>
      <c r="Z89" s="647"/>
      <c r="AA89" s="647"/>
      <c r="AB89" s="601"/>
      <c r="AC89" s="601"/>
      <c r="AD89" s="601"/>
      <c r="AE89" s="603"/>
      <c r="AF89" s="603"/>
      <c r="AG89" s="603"/>
      <c r="AH89" s="603"/>
      <c r="AI89" s="603"/>
    </row>
    <row r="90" spans="8:8" ht="13.5" customHeight="1">
      <c r="A90" s="597"/>
      <c r="B90" s="598"/>
      <c r="C90" s="598"/>
      <c r="D90" s="598"/>
      <c r="E90" s="598"/>
      <c r="F90" s="598"/>
      <c r="G90" s="598"/>
      <c r="H90" s="598"/>
      <c r="I90" s="598"/>
      <c r="J90" s="598"/>
      <c r="K90" s="598"/>
      <c r="L90" s="598"/>
      <c r="M90" s="598"/>
      <c r="N90" s="598"/>
      <c r="O90" s="598"/>
      <c r="P90" s="598"/>
      <c r="Q90" s="598"/>
      <c r="R90" s="598"/>
      <c r="S90" s="598"/>
      <c r="T90" s="598"/>
      <c r="U90" s="598"/>
      <c r="V90" s="598"/>
      <c r="W90" s="598"/>
      <c r="X90" s="598"/>
      <c r="Y90" s="599"/>
      <c r="Z90" s="322"/>
      <c r="AA90" s="322"/>
      <c r="AB90" s="322"/>
      <c r="AC90" s="322"/>
      <c r="AD90" s="322"/>
      <c r="AE90" s="322"/>
      <c r="AF90" s="322"/>
    </row>
    <row r="91" spans="8:8" ht="13.5" customHeight="1">
      <c r="A91" s="636"/>
      <c r="B91" s="636"/>
      <c r="C91" s="636">
        <v>0.9665</v>
      </c>
      <c r="D91" s="636"/>
      <c r="E91" s="636"/>
      <c r="F91" s="322"/>
      <c r="G91" s="322"/>
      <c r="H91" s="322"/>
      <c r="I91" s="322"/>
      <c r="J91" s="322"/>
      <c r="K91" s="322"/>
      <c r="L91" s="322"/>
      <c r="M91" s="322"/>
      <c r="N91" s="322"/>
      <c r="S91" s="322"/>
      <c r="T91" s="322"/>
      <c r="U91" s="322"/>
      <c r="V91" s="322"/>
      <c r="W91" s="322"/>
      <c r="X91" s="322"/>
      <c r="Y91" s="322"/>
      <c r="Z91" s="322"/>
      <c r="AA91" s="322"/>
      <c r="AB91" s="322"/>
      <c r="AC91" s="322"/>
      <c r="AD91" s="322"/>
      <c r="AE91" s="322"/>
      <c r="AF91" s="322"/>
    </row>
    <row r="92" spans="8:8" customHeight="1">
      <c r="A92" s="639" t="s">
        <v>129</v>
      </c>
      <c r="B92" s="611">
        <v>1.0</v>
      </c>
      <c r="C92" s="611">
        <v>0.95</v>
      </c>
      <c r="D92" s="611">
        <v>0.9</v>
      </c>
      <c r="E92" s="611">
        <v>0.85</v>
      </c>
      <c r="F92" s="338" t="s">
        <v>77</v>
      </c>
      <c r="G92" s="322"/>
      <c r="H92" s="322"/>
      <c r="I92" s="584" t="s">
        <v>93</v>
      </c>
      <c r="J92" s="621"/>
      <c r="K92" s="322">
        <f>B94*(M98-C93)*(M98-D93)*(M98-E93)*(M98-B96)/((B93-C93)*(B93-D93)*(B93-E93)*(B93-B96))+C94*(M98-B93)*(M98-D93)*(M98-E93)*(M98-B96)/((C93-B93)*(C93-D93)*(C93-E93)*(C93-B96))+D94*(M98-B93)*(M98-C93)*(M98-E93)*(M98-B96)/((D93-B93)*(D93-C93)*(D93-E93)*(D93-B96))+E94*(M98-B93)*(M98-C93)*(M98-D93)*(M98-B96)/((E93-B93)*(E93-C93)*(E93-D93)*(E93-B96))+B97*(M98-B93)*(M98-C93)*(M98-D93)*(M98-E93)/((B96-B93)*(B96-C93)*(B96-D93)*(B96-E93))</f>
        <v>4.261991107331751</v>
      </c>
      <c r="L92" s="584" t="s">
        <v>77</v>
      </c>
      <c r="M92" s="584">
        <f>K92</f>
        <v>4.261991107331751</v>
      </c>
      <c r="N92" s="322"/>
      <c r="O92" s="342" t="s">
        <v>14</v>
      </c>
      <c r="S92" s="322"/>
      <c r="T92" s="322"/>
      <c r="U92" s="611">
        <v>1.0</v>
      </c>
      <c r="V92" s="611">
        <v>0.95</v>
      </c>
      <c r="W92" s="611">
        <v>0.9</v>
      </c>
      <c r="X92" s="611">
        <v>0.85</v>
      </c>
      <c r="Y92" s="322"/>
      <c r="Z92" s="322"/>
      <c r="AA92" s="322"/>
      <c r="AB92" s="322"/>
      <c r="AC92" s="322"/>
      <c r="AD92" s="322"/>
      <c r="AE92" s="322"/>
      <c r="AF92" s="322"/>
    </row>
    <row r="93" spans="8:8" customHeight="1">
      <c r="A93" s="637" t="s">
        <v>86</v>
      </c>
      <c r="B93" s="640">
        <v>222.4</v>
      </c>
      <c r="C93" s="663">
        <v>208.2</v>
      </c>
      <c r="D93" s="640">
        <v>194.3</v>
      </c>
      <c r="E93" s="642">
        <v>180.98</v>
      </c>
      <c r="F93" s="352" t="s">
        <v>87</v>
      </c>
      <c r="G93" s="353">
        <f>M92*$AA$1*Calculadora!$B$3</f>
        <v>18.434472760719785</v>
      </c>
      <c r="H93" s="322"/>
      <c r="I93" s="352"/>
      <c r="J93" s="354"/>
      <c r="K93" s="621"/>
      <c r="L93" s="584" t="s">
        <v>7</v>
      </c>
      <c r="M93" s="355">
        <f>L105*POWER(K105,(B93-M98))</f>
        <v>0.39082597277442166</v>
      </c>
      <c r="N93" s="322"/>
      <c r="O93" s="356">
        <f>B93</f>
        <v>222.4</v>
      </c>
      <c r="P93" s="357">
        <f>D93</f>
        <v>194.3</v>
      </c>
      <c r="Q93" s="356">
        <f>B96</f>
        <v>167.7</v>
      </c>
      <c r="R93" s="358">
        <f>K101</f>
        <v>262.2512846741357</v>
      </c>
      <c r="U93" s="640">
        <v>222.4</v>
      </c>
      <c r="V93" s="663">
        <v>208.2</v>
      </c>
      <c r="W93" s="640">
        <v>194.3</v>
      </c>
      <c r="X93" s="642">
        <v>180.98</v>
      </c>
      <c r="Y93" s="322"/>
      <c r="Z93" s="322"/>
      <c r="AA93" s="322"/>
      <c r="AB93" s="322"/>
      <c r="AC93" s="322"/>
      <c r="AD93" s="322"/>
      <c r="AE93" s="322"/>
      <c r="AF93" s="322"/>
    </row>
    <row r="94" spans="8:8" customHeight="1">
      <c r="A94" s="643" t="s">
        <v>77</v>
      </c>
      <c r="B94" s="644">
        <v>1.1481</v>
      </c>
      <c r="C94" s="664">
        <v>0.9488</v>
      </c>
      <c r="D94" s="664">
        <v>0.8272</v>
      </c>
      <c r="E94" s="645">
        <v>0.7034</v>
      </c>
      <c r="F94" s="366" t="s">
        <v>88</v>
      </c>
      <c r="G94" s="367">
        <f>IF(G100&gt;0,G93*M95,G93*M96)</f>
        <v>18.404295999048333</v>
      </c>
      <c r="H94" s="322"/>
      <c r="I94" s="366" t="s">
        <v>94</v>
      </c>
      <c r="J94" s="368">
        <f>M92*Calculadora!$B$3*$AA$2</f>
        <v>10.690389095288031</v>
      </c>
      <c r="K94" s="621"/>
      <c r="L94" s="584" t="s">
        <v>8</v>
      </c>
      <c r="M94" s="355">
        <f>L106*POWER(K106,(B93-M98))</f>
        <v>0.43745272273470015</v>
      </c>
      <c r="N94" s="322"/>
      <c r="O94" s="370">
        <v>2.4</v>
      </c>
      <c r="P94" s="371">
        <v>2.5</v>
      </c>
      <c r="Q94" s="357">
        <v>2.6</v>
      </c>
      <c r="R94" s="372">
        <f>O94*(R93-P93)*(R93-Q93)/((O93-P93)*(O93-Q93))+P94*(R93-O93)*(R93-Q93)/((P93-O93)*(P93-Q93))+Q94*(R93-O93)*(R93-P93)/((Q93-O93)*(Q93-P93))</f>
        <v>2.2681152094269197</v>
      </c>
      <c r="U94" s="644">
        <v>1.1481</v>
      </c>
      <c r="V94" s="664">
        <v>0.9701</v>
      </c>
      <c r="W94" s="664">
        <v>0.8272</v>
      </c>
      <c r="X94" s="645">
        <v>0.7034</v>
      </c>
      <c r="Y94" s="322"/>
      <c r="Z94" s="322"/>
      <c r="AA94" s="322"/>
      <c r="AB94" s="322"/>
      <c r="AC94" s="322"/>
      <c r="AD94" s="322"/>
      <c r="AE94" s="322"/>
      <c r="AF94" s="322"/>
    </row>
    <row r="95" spans="8:8" customHeight="1">
      <c r="A95" s="636"/>
      <c r="B95" s="611">
        <v>0.8</v>
      </c>
      <c r="C95" s="611">
        <v>0.7</v>
      </c>
      <c r="D95" s="611">
        <v>0.6</v>
      </c>
      <c r="E95" s="646"/>
      <c r="F95" s="366" t="s">
        <v>89</v>
      </c>
      <c r="G95" s="367">
        <f>G94*J98</f>
        <v>17.059681529122994</v>
      </c>
      <c r="H95" s="593">
        <f>(G95/(Calculadora!$B$3*$AA$1))*Calculadora!$B$5/4</f>
        <v>0.0</v>
      </c>
      <c r="I95" s="366"/>
      <c r="J95" s="368"/>
      <c r="K95" s="621"/>
      <c r="L95" s="584" t="s">
        <v>9</v>
      </c>
      <c r="M95" s="355">
        <f>IF((M98&gt;0),((100+(G100/-J105))/100))</f>
        <v>0.9983630255086138</v>
      </c>
      <c r="N95" s="322"/>
      <c r="O95" s="380">
        <v>2.3</v>
      </c>
      <c r="P95" s="381">
        <v>2.2</v>
      </c>
      <c r="Q95" s="382">
        <v>2.1</v>
      </c>
      <c r="R95" s="372">
        <f>O95*(R93-P93)*(R93-Q93)/((O93-P93)*(O93-Q93))+P95*(R93-O93)*(R93-Q93)/((P93-O93)*(P93-Q93))+Q95*(R93-O93)*(R93-P93)/((Q93-O93)*(Q93-P93))</f>
        <v>2.4318847905730703</v>
      </c>
      <c r="U95" s="611">
        <v>0.8</v>
      </c>
      <c r="V95" s="646"/>
      <c r="W95" s="646"/>
      <c r="X95" s="646"/>
      <c r="Y95" s="322"/>
      <c r="AB95" s="322"/>
      <c r="AC95" s="322"/>
      <c r="AD95" s="322"/>
      <c r="AE95" s="322"/>
      <c r="AF95" s="322"/>
    </row>
    <row r="96" spans="8:8" customHeight="1">
      <c r="A96" s="654"/>
      <c r="B96" s="640">
        <v>167.7</v>
      </c>
      <c r="C96" s="665">
        <v>143.3</v>
      </c>
      <c r="D96" s="665">
        <v>121.1</v>
      </c>
      <c r="E96" s="646"/>
      <c r="F96" s="388" t="s">
        <v>90</v>
      </c>
      <c r="G96" s="389">
        <f>G94/J99</f>
        <v>20.12927807669905</v>
      </c>
      <c r="H96" s="593">
        <f>(G96/(Calculadora!$B$3*$AA$1))*Calculadora!$B$5/4</f>
        <v>0.0</v>
      </c>
      <c r="I96" s="366" t="s">
        <v>97</v>
      </c>
      <c r="J96" s="368">
        <f>$AT$1*Calculadora!$B$3*M92*1*(1-(G100*0.016))</f>
        <v>10.626882253181986</v>
      </c>
      <c r="K96" s="621"/>
      <c r="L96" s="584" t="s">
        <v>10</v>
      </c>
      <c r="M96" s="355">
        <f>IF((M98&gt;0),((100+(G100/-J106))/100))</f>
        <v>0.9984732637188449</v>
      </c>
      <c r="N96" s="322"/>
      <c r="U96" s="640">
        <v>167.7</v>
      </c>
      <c r="V96" s="646"/>
      <c r="W96" s="646"/>
      <c r="X96" s="646"/>
      <c r="Y96" s="322"/>
      <c r="AB96" s="322"/>
      <c r="AC96" s="322"/>
      <c r="AD96" s="322"/>
      <c r="AE96" s="322"/>
      <c r="AF96" s="322"/>
    </row>
    <row r="97" spans="8:8" customHeight="1">
      <c r="A97" s="654"/>
      <c r="B97" s="664">
        <v>0.5983</v>
      </c>
      <c r="C97" s="666">
        <v>0.436</v>
      </c>
      <c r="D97" s="666">
        <v>0.3306</v>
      </c>
      <c r="E97" s="651"/>
      <c r="F97" s="322"/>
      <c r="G97" s="322"/>
      <c r="H97" s="322"/>
      <c r="I97" s="366" t="s">
        <v>98</v>
      </c>
      <c r="J97" s="368">
        <f>$AT$1*Calculadora!$B$3*M92*1.26*(1-(G100*0.016))</f>
        <v>13.389871639009304</v>
      </c>
      <c r="K97" s="621"/>
      <c r="L97" s="584" t="s">
        <v>105</v>
      </c>
      <c r="M97" s="584">
        <f>M92/4*Calculadora!$B$5</f>
        <v>0.0</v>
      </c>
      <c r="N97" s="322"/>
      <c r="U97" s="664">
        <v>0.5983</v>
      </c>
      <c r="V97" s="646"/>
      <c r="W97" s="651"/>
      <c r="X97" s="651"/>
      <c r="Y97" s="322"/>
      <c r="AB97" s="322"/>
      <c r="AC97" s="322"/>
      <c r="AD97" s="322"/>
      <c r="AE97" s="322"/>
      <c r="AF97" s="322"/>
    </row>
    <row r="98" spans="8:8" customHeight="1">
      <c r="A98" s="654"/>
      <c r="B98" s="627"/>
      <c r="C98" s="627"/>
      <c r="D98" s="652"/>
      <c r="E98" s="653"/>
      <c r="F98" s="338" t="s">
        <v>91</v>
      </c>
      <c r="G98" s="322"/>
      <c r="H98" s="322"/>
      <c r="I98" s="366" t="s">
        <v>99</v>
      </c>
      <c r="J98" s="368">
        <f>(100+(J96*2.75/-4))/100</f>
        <v>0.9269401845093739</v>
      </c>
      <c r="K98" s="621"/>
      <c r="L98" s="584" t="s">
        <v>106</v>
      </c>
      <c r="M98" s="584">
        <f>$W$13</f>
        <v>261.88</v>
      </c>
      <c r="N98" s="322"/>
      <c r="W98" s="322"/>
      <c r="X98" s="322"/>
      <c r="Y98" s="322"/>
      <c r="AB98" s="322"/>
      <c r="AC98" s="322"/>
      <c r="AD98" s="322"/>
      <c r="AE98" s="322"/>
      <c r="AF98" s="322"/>
    </row>
    <row r="99" spans="8:8" customHeight="1">
      <c r="E99" s="653"/>
      <c r="F99" s="352"/>
      <c r="G99" s="354"/>
      <c r="H99" s="322"/>
      <c r="I99" s="388" t="s">
        <v>100</v>
      </c>
      <c r="J99" s="402">
        <f>(100+(J97*4/-6.25))/100</f>
        <v>0.9143048215103404</v>
      </c>
      <c r="L99" s="322"/>
      <c r="M99" s="322"/>
      <c r="N99" s="322"/>
      <c r="O99" s="322"/>
      <c r="P99" s="322"/>
      <c r="T99" s="621"/>
      <c r="U99" s="662"/>
      <c r="W99" s="322"/>
      <c r="X99" s="322"/>
      <c r="Y99" s="322"/>
      <c r="AB99" s="322"/>
      <c r="AC99" s="322"/>
      <c r="AD99" s="322"/>
      <c r="AE99" s="322"/>
      <c r="AF99" s="322"/>
    </row>
    <row r="100" spans="8:8" ht="13.5" customHeight="1">
      <c r="E100" s="653"/>
      <c r="F100" s="366" t="s">
        <v>92</v>
      </c>
      <c r="G100" s="368">
        <f>IF(Calculadora!$B$2&gt;0,Calculadora!$B$2*M93,Calculadora!$B$2*M94)</f>
        <v>0.37128467413570054</v>
      </c>
      <c r="H100" s="322"/>
      <c r="I100" s="621"/>
      <c r="J100" s="621"/>
      <c r="L100" s="322"/>
      <c r="M100" s="584" t="s">
        <v>17</v>
      </c>
      <c r="N100" s="619"/>
      <c r="O100" s="354"/>
      <c r="P100" s="322"/>
      <c r="W100" s="322"/>
      <c r="X100" s="322"/>
      <c r="Y100" s="322"/>
      <c r="AB100" s="322"/>
      <c r="AC100" s="322"/>
      <c r="AD100" s="322"/>
      <c r="AE100" s="322"/>
      <c r="AF100" s="322"/>
    </row>
    <row r="101" spans="8:8" customHeight="1">
      <c r="A101" s="412">
        <v>100.0</v>
      </c>
      <c r="B101" s="413">
        <f>B93</f>
        <v>222.4</v>
      </c>
      <c r="C101" s="634">
        <v>1.0</v>
      </c>
      <c r="E101" s="653"/>
      <c r="F101" s="388"/>
      <c r="G101" s="402"/>
      <c r="H101" s="322"/>
      <c r="I101" s="352" t="s">
        <v>103</v>
      </c>
      <c r="J101" s="415">
        <f>M98+G100-J96</f>
        <v>251.624402420954</v>
      </c>
      <c r="K101" s="656">
        <f>M98+G100</f>
        <v>262.2512846741357</v>
      </c>
      <c r="L101" s="322"/>
      <c r="M101" s="366">
        <f>MOD(F105,20/72)</f>
        <v>0.1885708448888308</v>
      </c>
      <c r="N101" s="621">
        <f>MOD(F106,20/72)</f>
        <v>0.020997627531914254</v>
      </c>
      <c r="O101" s="368"/>
      <c r="P101" s="322"/>
      <c r="Q101" s="412" t="s">
        <v>7</v>
      </c>
      <c r="R101" s="413">
        <v>0.01</v>
      </c>
      <c r="S101" s="414">
        <v>0.65</v>
      </c>
      <c r="U101" s="412" t="s">
        <v>13</v>
      </c>
      <c r="V101" s="413">
        <v>-0.01</v>
      </c>
      <c r="W101" s="414">
        <v>0.65</v>
      </c>
      <c r="X101" s="322"/>
      <c r="Y101" s="322"/>
      <c r="Z101" s="322"/>
      <c r="AA101" s="322"/>
      <c r="AB101" s="322"/>
      <c r="AC101" s="322"/>
      <c r="AD101" s="322"/>
      <c r="AE101" s="322"/>
      <c r="AF101" s="322"/>
    </row>
    <row r="102" spans="8:8" customHeight="1">
      <c r="A102" s="412">
        <v>90.0</v>
      </c>
      <c r="B102" s="413">
        <f>D93</f>
        <v>194.3</v>
      </c>
      <c r="C102" s="634">
        <v>0.97</v>
      </c>
      <c r="H102" s="322"/>
      <c r="I102" s="388" t="s">
        <v>104</v>
      </c>
      <c r="J102" s="423">
        <f>M98+G100+J97</f>
        <v>275.6411563131453</v>
      </c>
      <c r="K102" s="322"/>
      <c r="L102" s="322"/>
      <c r="M102" s="366">
        <f>M101/(20/72)</f>
        <v>0.6788550415997908</v>
      </c>
      <c r="N102" s="621">
        <f>N101/(20/72)</f>
        <v>0.0755914591148913</v>
      </c>
      <c r="O102" s="368"/>
      <c r="P102" s="322"/>
      <c r="Q102" s="412" t="s">
        <v>7</v>
      </c>
      <c r="R102" s="413">
        <v>5.0</v>
      </c>
      <c r="S102" s="414">
        <v>0.657</v>
      </c>
      <c r="U102" s="412" t="s">
        <v>13</v>
      </c>
      <c r="V102" s="413">
        <v>-10.0</v>
      </c>
      <c r="W102" s="414">
        <v>0.644</v>
      </c>
      <c r="X102" s="322"/>
      <c r="Y102" s="322"/>
      <c r="Z102" s="322"/>
      <c r="AA102" s="322"/>
      <c r="AB102" s="322"/>
      <c r="AC102" s="322"/>
      <c r="AD102" s="322"/>
    </row>
    <row r="103" spans="8:8" customHeight="1">
      <c r="A103" s="412">
        <v>80.0</v>
      </c>
      <c r="B103" s="413">
        <f>B96</f>
        <v>167.7</v>
      </c>
      <c r="C103" s="634">
        <v>0.94</v>
      </c>
      <c r="G103" s="322"/>
      <c r="H103" s="322"/>
      <c r="I103" s="322"/>
      <c r="J103" s="322"/>
      <c r="K103" s="322">
        <v>0.0125</v>
      </c>
      <c r="L103" s="322"/>
      <c r="M103" s="366">
        <f>IF(M102&lt;0.288,ROUNDDOWN(M102,0),ROUNDUP(M102,0))</f>
        <v>1.0</v>
      </c>
      <c r="N103" s="621">
        <f>IF(N102&lt;0.288,ROUNDDOWN(N102,0),ROUNDUP(N102,0))</f>
        <v>0.0</v>
      </c>
      <c r="O103" s="368"/>
      <c r="P103" s="322"/>
      <c r="Q103" s="412" t="s">
        <v>7</v>
      </c>
      <c r="R103" s="413">
        <v>10.0</v>
      </c>
      <c r="S103" s="414">
        <v>0.662</v>
      </c>
      <c r="U103" s="412" t="s">
        <v>13</v>
      </c>
      <c r="V103" s="413">
        <v>-20.0</v>
      </c>
      <c r="W103" s="414">
        <v>0.636</v>
      </c>
      <c r="X103" s="322"/>
      <c r="Y103" s="322"/>
      <c r="Z103" s="322"/>
      <c r="AA103" s="322"/>
      <c r="AB103" s="322"/>
      <c r="AC103" s="322"/>
      <c r="AD103" s="322"/>
    </row>
    <row r="104" spans="8:8" ht="13.5" customHeight="1">
      <c r="A104" s="439">
        <v>70.0</v>
      </c>
      <c r="B104" s="338">
        <f>C96</f>
        <v>143.3</v>
      </c>
      <c r="C104" s="634">
        <v>0.91</v>
      </c>
      <c r="E104" s="637" t="s">
        <v>95</v>
      </c>
      <c r="F104" s="584" t="s">
        <v>96</v>
      </c>
      <c r="G104" s="584" t="s">
        <v>77</v>
      </c>
      <c r="H104" s="584" t="s">
        <v>18</v>
      </c>
      <c r="I104" s="322"/>
      <c r="J104" s="584" t="s">
        <v>14</v>
      </c>
      <c r="K104" s="584" t="s">
        <v>78</v>
      </c>
      <c r="L104" s="444" t="s">
        <v>15</v>
      </c>
      <c r="M104" s="366"/>
      <c r="N104" s="621"/>
      <c r="O104" s="368"/>
      <c r="P104" s="322"/>
      <c r="Q104" s="439" t="s">
        <v>7</v>
      </c>
      <c r="R104" s="338">
        <v>15.0</v>
      </c>
      <c r="S104" s="354">
        <v>0.668</v>
      </c>
      <c r="U104" s="412" t="s">
        <v>13</v>
      </c>
      <c r="V104" s="338">
        <v>-30.0</v>
      </c>
      <c r="W104" s="354">
        <v>0.628</v>
      </c>
      <c r="X104" s="322"/>
      <c r="Y104" s="322"/>
      <c r="Z104" s="322"/>
      <c r="AA104" s="322"/>
      <c r="AB104" s="322"/>
      <c r="AC104" s="322"/>
      <c r="AD104" s="322"/>
    </row>
    <row r="105" spans="8:8" ht="13.5" customHeight="1">
      <c r="A105" s="412">
        <v>60.0</v>
      </c>
      <c r="B105" s="413">
        <f>D96</f>
        <v>121.1</v>
      </c>
      <c r="C105" s="634">
        <v>0.88</v>
      </c>
      <c r="D105" s="658" t="s">
        <v>0</v>
      </c>
      <c r="E105" s="638" t="e">
        <f>IF(M103=0,INDEX(Caliper!K183:K363,(ROUNDDOWN(((F105-50)/(20/72)+1),0)),1),INDEX(Caliper!K183:K363,(ROUNDUP(((F105-50)/(20/72))+1,0)),1))</f>
        <v>#REF!</v>
      </c>
      <c r="F105" s="446">
        <f>100*(J101-C93)*(J101-D93)*(J101-E93)*(J101-B96)/((B93-C93)*(B93-D93)*(B93-E93)*(B93-B96))+95*(J101-B93)*(J101-D93)*(J101-E93)*(J101-B96)/((C93-B93)*(C93-D93)*(C93-E93)*(C93-B96))+90*(J101-B93)*(J101-C93)*(J101-E93)*(J101-B96)/((D93-B93)*(D93-C93)*(D93-E93)*(D93-B96))+85*(J101-B93)*(J101-C93)*(J101-D93)*(J101-B96)/((E93-B93)*(E93-C93)*(E93-D93)*(E93-B96))+80*(J101-B93)*(J101-C93)*(J101-D93)*(J101-E93)/((B96-B93)*(B96-C93)*(B96-D93)*(B96-E93))</f>
        <v>112.41079306711106</v>
      </c>
      <c r="G105" s="446">
        <f>G95+H95</f>
        <v>17.059681529123</v>
      </c>
      <c r="H105" s="584">
        <f>N105</f>
        <v>10.0</v>
      </c>
      <c r="I105" s="414" t="s">
        <v>7</v>
      </c>
      <c r="J105" s="659">
        <f>R94</f>
        <v>2.2681152094269197</v>
      </c>
      <c r="K105" s="660">
        <f>1+K103*C106</f>
        <v>1.0130359740763972</v>
      </c>
      <c r="L105" s="625">
        <f>S106</f>
        <v>0.6517082270628605</v>
      </c>
      <c r="M105" s="338" t="s">
        <v>19</v>
      </c>
      <c r="N105" s="352">
        <f>IF(M101&lt;0.08,11,N106)</f>
        <v>10.0</v>
      </c>
      <c r="O105" s="354">
        <f>IF(N101&lt;0.08,11,O106)</f>
        <v>11.0</v>
      </c>
      <c r="P105" s="322"/>
      <c r="Q105" s="412" t="s">
        <v>7</v>
      </c>
      <c r="R105" s="413">
        <v>20.0</v>
      </c>
      <c r="S105" s="414">
        <v>0.675</v>
      </c>
      <c r="U105" s="412" t="s">
        <v>13</v>
      </c>
      <c r="V105" s="413">
        <v>-40.0</v>
      </c>
      <c r="W105" s="414">
        <v>0.625</v>
      </c>
      <c r="X105" s="322"/>
      <c r="Y105" s="322"/>
      <c r="Z105" s="322"/>
      <c r="AA105" s="322"/>
      <c r="AB105" s="322"/>
      <c r="AC105" s="322"/>
      <c r="AD105" s="322"/>
    </row>
    <row r="106" spans="8:8" ht="13.5" customHeight="1">
      <c r="A106" s="412" t="s">
        <v>321</v>
      </c>
      <c r="B106" s="413">
        <f>M98</f>
        <v>261.88</v>
      </c>
      <c r="C106" s="456">
        <f>C101*(B106-B102)*(B106-B103)*(B106-B104)*(B106-B105)/((B101-B102)*(B101-B103)*(B101-B104)*(B101-B105))+C102*(B106-B101)*(B106-B103)*(B106-B104)*(B106-B105)/((B102-B101)*(B102-B103)*(B102-B104)*(B102-B105))+C103*(B106-B101)*(B106-B102)*(B106-B104)*(B106-B105)/((B103-B101)*(B103-B102)*(B103-B104)*(B103-B105))+C104*(B106-B101)*(B106-B102)*(B106-B103)*(B106-B105)/((B104-B101)*(B104-B102)*(B104-B103)*(B104-B105))+C105*(B106-B101)*(B106-B102)*(B106-B103)*(B106-B104)/((B105-B101)*(B105-B102)*(B105-B103)*(B105-B104))</f>
        <v>1.04287792611178</v>
      </c>
      <c r="D106" s="661" t="s">
        <v>1</v>
      </c>
      <c r="E106" s="638" t="e">
        <f>IF(N103=0,INDEX(Caliper!K183:K363,(ROUNDDOWN(((F106-50)/(20/72)+1),0)),1),INDEX(Caliper!K183:K363,(ROUNDUP(((F106-50)/(20/72))+1,0)),1))</f>
        <v>#REF!</v>
      </c>
      <c r="F106" s="446">
        <f>100*(J102-C93)*(J102-D93)*(J102-E93)*(J102-B96)/((B93-C93)*(B93-D93)*(B93-E93)*(B93-B96))+95*(J102-B93)*(J102-D93)*(J102-E93)*(J102-B96)/((C93-B93)*(C93-D93)*(C93-E93)*(C93-B96))+90*(J102-B93)*(J102-C93)*(J102-E93)*(J102-B96)/((D93-B93)*(D93-C93)*(D93-E93)*(D93-B96))+85*(J102-B93)*(J102-C93)*(J102-D93)*(J102-B96)/((E93-B93)*(E93-C93)*(E93-D93)*(E93-B96))+80*(J102-B93)*(J102-C93)*(J102-D93)*(J102-E93)/((B96-B93)*(B96-C93)*(B96-D93)*(B96-E93))</f>
        <v>130.2987754053097</v>
      </c>
      <c r="G106" s="446">
        <f>G96+H96</f>
        <v>20.1292780766991</v>
      </c>
      <c r="H106" s="584">
        <f>O105</f>
        <v>11.0</v>
      </c>
      <c r="I106" s="584" t="s">
        <v>13</v>
      </c>
      <c r="J106" s="659">
        <f>R95</f>
        <v>2.4318847905730703</v>
      </c>
      <c r="K106" s="448">
        <v>1.0101</v>
      </c>
      <c r="L106" s="625">
        <f>W106</f>
        <v>0.6504838152160759</v>
      </c>
      <c r="M106" s="425"/>
      <c r="N106" s="388">
        <f>IF(M101&gt;(20/72)-0.08,11,10)</f>
        <v>10.0</v>
      </c>
      <c r="O106" s="402">
        <f>IF(N101&gt;(20/72)-0.08,11,10)</f>
        <v>10.0</v>
      </c>
      <c r="P106" s="322"/>
      <c r="Q106" s="412" t="s">
        <v>74</v>
      </c>
      <c r="R106" s="413">
        <f>Calculadora!$B$2</f>
        <v>0.95</v>
      </c>
      <c r="S106" s="456">
        <f>S101*(R106-R102)*(R106-R103)*(R106-R104)*(R106-R105)/((R101-R102)*(R101-R103)*(R101-R104)*(R101-R105))+S102*(R106-R101)*(R106-R103)*(R106-R104)*(R106-R105)/((R102-R101)*(R102-R103)*(R102-R104)*(R102-R105))+S103*(R106-R101)*(R106-R102)*(R106-R104)*(R106-R105)/((R103-R101)*(R103-R102)*(R103-R104)*(R103-R105))+S104*(R106-R101)*(R106-R102)*(R106-R103)*(R106-R105)/((R104-R101)*(R104-R102)*(R104-R103)*(R104-R105))+S105*(R106-R101)*(R106-R102)*(R106-R103)*(R106-R104)/((R105-R101)*(R105-R102)*(R105-R103)*(R105-R104))</f>
        <v>0.6517082270628605</v>
      </c>
      <c r="U106" s="412" t="s">
        <v>16</v>
      </c>
      <c r="V106" s="413">
        <f>Calculadora!$B$2</f>
        <v>0.95</v>
      </c>
      <c r="W106" s="456">
        <f>W101*(V106-V102)*(V106-V103)*(V106-V104)*(V106-V105)/((V101-V102)*(V101-V103)*(V101-V104)*(V101-V105))+W102*(V106-V101)*(V106-V103)*(V106-V104)*(V106-V105)/((V102-V101)*(V102-V103)*(V102-V104)*(V102-V105))+W103*(V106-V101)*(V106-V102)*(V106-V104)*(V106-V105)/((V103-V101)*(V103-V102)*(V103-V104)*(V103-V105))+W104*(V106-V101)*(V106-V102)*(V106-V103)*(V106-V105)/((V104-V101)*(V104-V102)*(V104-V103)*(V104-V105))+W105*(V106-V101)*(V106-V102)*(V106-V103)*(V106-V104)/((V105-V101)*(V105-V102)*(V105-V103)*(V105-V104))</f>
        <v>0.6504838152160759</v>
      </c>
      <c r="X106" s="322"/>
      <c r="Y106" s="322"/>
      <c r="Z106" s="322"/>
      <c r="AA106" s="322"/>
      <c r="AB106" s="322"/>
      <c r="AC106" s="322"/>
      <c r="AD106" s="322"/>
    </row>
    <row r="107" spans="8:8" customHeight="1">
      <c r="C107" s="636"/>
      <c r="D107" s="636"/>
      <c r="E107" s="636"/>
      <c r="F107" s="322"/>
      <c r="H107" s="322"/>
      <c r="I107" s="322"/>
      <c r="K107" s="322"/>
      <c r="L107" s="322"/>
      <c r="M107" s="322"/>
      <c r="N107" s="322"/>
      <c r="O107" s="322"/>
      <c r="S107" s="322"/>
      <c r="T107" s="322"/>
      <c r="U107" s="322"/>
      <c r="V107" s="322"/>
      <c r="W107" s="322"/>
      <c r="X107" s="322"/>
      <c r="Y107" s="322"/>
      <c r="Z107" s="322"/>
      <c r="AD107" s="322"/>
    </row>
    <row r="108" spans="8:8" ht="13.5" customHeight="1">
      <c r="A108" s="597"/>
      <c r="B108" s="598"/>
      <c r="C108" s="598"/>
      <c r="D108" s="598"/>
      <c r="E108" s="598"/>
      <c r="F108" s="598"/>
      <c r="G108" s="598"/>
      <c r="H108" s="598"/>
      <c r="I108" s="598"/>
      <c r="J108" s="598"/>
      <c r="K108" s="598"/>
      <c r="L108" s="598"/>
      <c r="M108" s="598"/>
      <c r="N108" s="598"/>
      <c r="O108" s="598"/>
      <c r="P108" s="598"/>
      <c r="Q108" s="598"/>
      <c r="R108" s="598"/>
      <c r="S108" s="598"/>
      <c r="T108" s="598"/>
      <c r="U108" s="598"/>
      <c r="V108" s="598"/>
      <c r="W108" s="598"/>
      <c r="X108" s="598"/>
      <c r="Y108" s="599"/>
      <c r="Z108" s="322"/>
      <c r="AA108" s="322"/>
      <c r="AB108" s="322"/>
      <c r="AC108" s="322"/>
      <c r="AD108" s="322"/>
    </row>
    <row r="109" spans="8:8" customHeight="1">
      <c r="A109" s="636"/>
      <c r="B109" s="636"/>
      <c r="C109" s="636"/>
      <c r="D109" s="636"/>
      <c r="E109" s="636"/>
      <c r="F109" s="322"/>
      <c r="G109" s="322"/>
      <c r="H109" s="322"/>
      <c r="I109" s="322"/>
      <c r="J109" s="322"/>
      <c r="K109" s="324" t="s">
        <v>111</v>
      </c>
      <c r="L109" s="322"/>
      <c r="M109" s="322"/>
      <c r="N109" s="322"/>
      <c r="O109" s="322"/>
      <c r="P109" s="322"/>
      <c r="X109" s="322"/>
      <c r="Y109" s="322"/>
      <c r="Z109" s="322"/>
      <c r="AA109" s="322"/>
      <c r="AB109" s="322"/>
      <c r="AC109" s="322"/>
      <c r="AD109" s="322"/>
    </row>
    <row r="110" spans="8:8" ht="13.5" customHeight="1">
      <c r="A110" s="639" t="s">
        <v>312</v>
      </c>
      <c r="B110" s="605" t="s">
        <v>86</v>
      </c>
      <c r="C110" s="605" t="s">
        <v>77</v>
      </c>
      <c r="F110" s="338" t="s">
        <v>77</v>
      </c>
      <c r="G110" s="322"/>
      <c r="H110" s="322"/>
      <c r="I110" s="338" t="s">
        <v>93</v>
      </c>
      <c r="J110" s="578"/>
      <c r="K110" s="291">
        <f>C111*(M116-B112)*(M116-B113)/((B111-B112)*(B111-B113))+C112*(M116-B111)*(M116-B113)/((B112-B111)*(B112-B113))+C113*(M116-B111)*(M116-B112)/((B113-B111)*(B113-B112))</f>
        <v>1.183990675060364</v>
      </c>
      <c r="L110" s="584" t="s">
        <v>77</v>
      </c>
      <c r="M110" s="585">
        <f>IF(M116&gt;B113,K110,K113)</f>
        <v>1.183990675060364</v>
      </c>
      <c r="N110" s="322"/>
      <c r="O110" s="342" t="s">
        <v>14</v>
      </c>
      <c r="U110" s="667" t="s">
        <v>7</v>
      </c>
      <c r="V110" s="668">
        <v>0.01</v>
      </c>
      <c r="W110" s="669">
        <v>0.6</v>
      </c>
      <c r="Y110" s="322"/>
      <c r="Z110" s="322"/>
      <c r="AA110" s="322"/>
      <c r="AB110" s="322"/>
      <c r="AC110" s="322"/>
      <c r="AD110" s="322"/>
    </row>
    <row r="111" spans="8:8" ht="13.5" customHeight="1">
      <c r="A111" s="608">
        <v>1.0</v>
      </c>
      <c r="B111" s="337">
        <v>269.11</v>
      </c>
      <c r="C111" s="337">
        <v>1.2865</v>
      </c>
      <c r="F111" s="352" t="s">
        <v>87</v>
      </c>
      <c r="G111" s="353">
        <f>M110*$AA$1*Calculadora!$B$3</f>
        <v>5.121137820020226</v>
      </c>
      <c r="H111" s="322"/>
      <c r="I111" s="352"/>
      <c r="J111" s="354"/>
      <c r="L111" s="584" t="s">
        <v>7</v>
      </c>
      <c r="M111" s="355">
        <f>L123*POWER(K123,(B111-M116))</f>
        <v>0.6560080681577749</v>
      </c>
      <c r="N111" s="322"/>
      <c r="O111" s="356">
        <f>B111</f>
        <v>269.11</v>
      </c>
      <c r="P111" s="357">
        <f>B113</f>
        <v>232.9</v>
      </c>
      <c r="Q111" s="356">
        <f>B115</f>
        <v>197.8</v>
      </c>
      <c r="R111" s="358">
        <f>K119</f>
        <v>262.5032076647499</v>
      </c>
      <c r="U111" s="667" t="s">
        <v>7</v>
      </c>
      <c r="V111" s="668">
        <v>5.0</v>
      </c>
      <c r="W111" s="669">
        <f>W110+0.005</f>
        <v>0.605</v>
      </c>
      <c r="Y111" s="322"/>
      <c r="Z111" s="322"/>
      <c r="AA111" s="322"/>
      <c r="AB111" s="322"/>
      <c r="AC111" s="322"/>
      <c r="AD111" s="322"/>
    </row>
    <row r="112" spans="8:8" ht="13.5" customHeight="1">
      <c r="A112" s="611">
        <v>0.95</v>
      </c>
      <c r="B112" s="359">
        <v>250.95</v>
      </c>
      <c r="C112" s="359">
        <v>1.0395</v>
      </c>
      <c r="F112" s="366" t="s">
        <v>88</v>
      </c>
      <c r="G112" s="367">
        <f>IF(G118&gt;0,G111*M113,G111*M114)</f>
        <v>5.112469873944564</v>
      </c>
      <c r="H112" s="322"/>
      <c r="I112" s="366" t="s">
        <v>94</v>
      </c>
      <c r="J112" s="368">
        <f>M110*Calculadora!$B$3*$AA$2</f>
        <v>2.9698140335896275</v>
      </c>
      <c r="K112" s="369" t="s">
        <v>112</v>
      </c>
      <c r="L112" s="584" t="s">
        <v>8</v>
      </c>
      <c r="M112" s="355"/>
      <c r="N112" s="322"/>
      <c r="O112" s="628">
        <v>3.7</v>
      </c>
      <c r="P112" s="629">
        <v>3.6</v>
      </c>
      <c r="Q112" s="630">
        <v>3.5</v>
      </c>
      <c r="R112" s="372">
        <f>O112*(R111-P111)*(R111-Q111)/((O111-P111)*(O111-Q111))+P112*(R111-O111)*(R111-Q111)/((P111-O111)*(P111-Q111))+Q112*(R111-O111)*(R111-P111)/((Q111-O111)*(Q111-P111))</f>
        <v>3.681993766249175</v>
      </c>
      <c r="U112" s="667" t="s">
        <v>7</v>
      </c>
      <c r="V112" s="668">
        <v>10.0</v>
      </c>
      <c r="W112" s="669">
        <f>W111+0.005</f>
        <v>0.61</v>
      </c>
      <c r="Y112" s="322"/>
      <c r="Z112" s="322"/>
      <c r="AA112" s="322"/>
      <c r="AB112" s="322"/>
      <c r="AC112" s="322"/>
      <c r="AD112" s="322"/>
    </row>
    <row r="113" spans="8:8" customHeight="1">
      <c r="A113" s="611">
        <v>0.9</v>
      </c>
      <c r="B113" s="365">
        <v>232.9</v>
      </c>
      <c r="C113" s="365">
        <v>0.8285</v>
      </c>
      <c r="F113" s="366" t="s">
        <v>89</v>
      </c>
      <c r="G113" s="367">
        <f>G112*J116</f>
        <v>5.010160438367286</v>
      </c>
      <c r="H113" s="593">
        <f>(G113/(Calculadora!$B$3*$AA$1))*Calculadora!$B$5/4</f>
        <v>0.0</v>
      </c>
      <c r="I113" s="366"/>
      <c r="J113" s="368"/>
      <c r="K113" s="291">
        <f>C113*(M116-B114)*(M116-B115)/((B113-B114)*(B113-B115))+C114*(M116-B113)*(M116-B115)/((B114-B113)*(B114-B115))+C115*(M116-B113)*(M116-B114)/((B115-B113)*(B115-B114))</f>
        <v>1.16912203095571</v>
      </c>
      <c r="L113" s="584" t="s">
        <v>9</v>
      </c>
      <c r="M113" s="355">
        <f>IF((M116&gt;0),((100+(G118/-J123))/100))</f>
        <v>0.9983074179254118</v>
      </c>
      <c r="N113" s="322"/>
      <c r="O113" s="631">
        <v>3.0</v>
      </c>
      <c r="P113" s="632">
        <v>2.8</v>
      </c>
      <c r="Q113" s="633">
        <v>2.6</v>
      </c>
      <c r="R113" s="372">
        <f>O113*(R111-P111)*(R111-Q111)/((O111-P111)*(O111-Q111))+P113*(R111-O111)*(R111-Q111)/((P111-O111)*(P111-Q111))+Q113*(R111-O111)*(R111-P111)/((Q111-O111)*(Q111-P111))</f>
        <v>2.96398753249834</v>
      </c>
      <c r="U113" s="667" t="s">
        <v>7</v>
      </c>
      <c r="V113" s="668">
        <v>15.0</v>
      </c>
      <c r="W113" s="669">
        <f>W112+0.005</f>
        <v>0.615</v>
      </c>
      <c r="Y113" s="322"/>
      <c r="Z113" s="322"/>
      <c r="AA113" s="322"/>
      <c r="AB113" s="322"/>
      <c r="AC113" s="322"/>
      <c r="AD113" s="322"/>
    </row>
    <row r="114" spans="8:8" customHeight="1">
      <c r="A114" s="611">
        <v>0.85</v>
      </c>
      <c r="B114" s="359">
        <v>215.3</v>
      </c>
      <c r="C114" s="359">
        <v>0.6799</v>
      </c>
      <c r="F114" s="388" t="s">
        <v>90</v>
      </c>
      <c r="G114" s="389">
        <f>G112/J117</f>
        <v>5.235858255884132</v>
      </c>
      <c r="H114" s="593">
        <f>(G114/(Calculadora!$B$3*$AA$1))*Calculadora!$B$5/4</f>
        <v>0.0</v>
      </c>
      <c r="I114" s="366" t="s">
        <v>97</v>
      </c>
      <c r="J114" s="368">
        <f>$AT$1*Calculadora!$B$3*M110*0.99*(1-(G118*0.016))</f>
        <v>2.910799049094872</v>
      </c>
      <c r="K114" s="578"/>
      <c r="L114" s="584" t="s">
        <v>10</v>
      </c>
      <c r="M114" s="355"/>
      <c r="N114" s="322"/>
      <c r="U114" s="667" t="s">
        <v>7</v>
      </c>
      <c r="V114" s="668">
        <v>20.0</v>
      </c>
      <c r="W114" s="669">
        <f>W113+0.005</f>
        <v>0.62</v>
      </c>
      <c r="Y114" s="322"/>
      <c r="Z114" s="322"/>
      <c r="AA114" s="322"/>
      <c r="AB114" s="322"/>
      <c r="AC114" s="322"/>
      <c r="AD114" s="322"/>
    </row>
    <row r="115" spans="8:8" customHeight="1">
      <c r="A115" s="611">
        <v>0.8</v>
      </c>
      <c r="B115" s="395">
        <v>197.8</v>
      </c>
      <c r="C115" s="395">
        <v>0.5758</v>
      </c>
      <c r="F115" s="322"/>
      <c r="G115" s="322"/>
      <c r="H115" s="322"/>
      <c r="I115" s="366" t="s">
        <v>98</v>
      </c>
      <c r="J115" s="368">
        <f>$AA$2*Calculadora!$B$3*M110*1.25*(1-(G118*0.013))</f>
        <v>3.6821918653720433</v>
      </c>
      <c r="K115" s="578"/>
      <c r="L115" s="584" t="s">
        <v>105</v>
      </c>
      <c r="M115" s="584">
        <f>M110/4.05*Calculadora!$B$5</f>
        <v>0.0</v>
      </c>
      <c r="N115" s="322"/>
      <c r="U115" s="667" t="s">
        <v>12</v>
      </c>
      <c r="V115" s="667">
        <f>Calculadora!$B$2</f>
        <v>0.95</v>
      </c>
      <c r="W115" s="670">
        <f>W110*(V115-V111)*(V115-V112)*(V115-V113)*(V115-V114)/((V110-V111)*(V110-V112)*(V110-V113)*(V110-V114))+W111*(V115-V110)*(V115-V112)*(V115-V113)*(V115-V114)/((V111-V110)*(V111-V112)*(V111-V113)*(V111-V114))+W112*(V115-V110)*(V115-V111)*(V115-V113)*(V115-V114)/((V112-V110)*(V112-V111)*(V112-V113)*(V112-V114))+W113*(V115-V110)*(V115-V111)*(V115-V112)*(V115-V114)/((V113-V110)*(V113-V111)*(V113-V112)*(V113-V114))+W114*(V115-V110)*(V115-V111)*(V115-V112)*(V115-V113)/((V114-V110)*(V114-V111)*(V114-V112)*(V114-V113))</f>
        <v>0.6009434325852224</v>
      </c>
      <c r="Y115" s="322"/>
      <c r="Z115" s="322"/>
      <c r="AA115" s="322"/>
      <c r="AB115" s="322"/>
      <c r="AC115" s="322"/>
      <c r="AD115" s="322"/>
    </row>
    <row r="116" spans="8:8" customHeight="1">
      <c r="A116" s="636"/>
      <c r="B116" s="636"/>
      <c r="C116" s="636"/>
      <c r="D116" s="671"/>
      <c r="E116" s="636"/>
      <c r="F116" s="584" t="s">
        <v>91</v>
      </c>
      <c r="G116" s="322"/>
      <c r="H116" s="322"/>
      <c r="I116" s="366" t="s">
        <v>99</v>
      </c>
      <c r="J116" s="368">
        <f>(100+(J114*2.75/-4))/100</f>
        <v>0.9799882565374728</v>
      </c>
      <c r="K116" s="578"/>
      <c r="L116" s="584" t="s">
        <v>106</v>
      </c>
      <c r="M116" s="584">
        <f>$W$13</f>
        <v>261.88</v>
      </c>
      <c r="N116" s="322"/>
      <c r="O116" s="322"/>
      <c r="W116" s="322"/>
      <c r="X116" s="322"/>
      <c r="Y116" s="322"/>
      <c r="Z116" s="322"/>
      <c r="AA116" s="322"/>
      <c r="AB116" s="322"/>
      <c r="AC116" s="322"/>
      <c r="AD116" s="322"/>
    </row>
    <row r="117" spans="8:8" customHeight="1">
      <c r="A117" s="672"/>
      <c r="B117" s="672"/>
      <c r="C117" s="672"/>
      <c r="D117" s="671"/>
      <c r="E117" s="636"/>
      <c r="F117" s="352"/>
      <c r="G117" s="354"/>
      <c r="H117" s="322"/>
      <c r="I117" s="388" t="s">
        <v>100</v>
      </c>
      <c r="J117" s="402">
        <f>(100+(J115*4/-6.25))/100</f>
        <v>0.976433972061619</v>
      </c>
      <c r="K117" s="578"/>
      <c r="L117" s="322"/>
      <c r="M117" s="322"/>
      <c r="N117" s="322"/>
      <c r="O117" s="322"/>
      <c r="P117" s="322"/>
      <c r="W117" s="322"/>
      <c r="X117" s="322"/>
      <c r="Y117" s="322"/>
      <c r="Z117" s="322"/>
      <c r="AA117" s="322"/>
      <c r="AB117" s="322"/>
      <c r="AC117" s="322"/>
      <c r="AD117" s="322"/>
    </row>
    <row r="118" spans="8:8" customHeight="1">
      <c r="A118" s="672"/>
      <c r="B118" s="672"/>
      <c r="C118" s="672"/>
      <c r="D118" s="671"/>
      <c r="E118" s="636"/>
      <c r="F118" s="366" t="s">
        <v>92</v>
      </c>
      <c r="G118" s="368">
        <f>IF(Calculadora!$B$2&gt;0,Calculadora!$B$2*M111,Calculadora!$B$2*M112)</f>
        <v>0.6232076647498861</v>
      </c>
      <c r="H118" s="322"/>
      <c r="I118" s="578"/>
      <c r="J118" s="578"/>
      <c r="L118" s="322"/>
      <c r="M118" s="571"/>
      <c r="N118" s="571"/>
      <c r="O118" s="571"/>
      <c r="P118" s="322"/>
      <c r="Y118" s="322"/>
      <c r="Z118" s="322"/>
      <c r="AA118" s="322"/>
      <c r="AB118" s="322"/>
      <c r="AC118" s="322"/>
      <c r="AD118" s="322"/>
    </row>
    <row r="119" spans="8:8" customHeight="1">
      <c r="A119" s="672"/>
      <c r="B119" s="672"/>
      <c r="C119" s="672"/>
      <c r="D119" s="671"/>
      <c r="E119" s="636"/>
      <c r="F119" s="388"/>
      <c r="G119" s="402"/>
      <c r="H119" s="322"/>
      <c r="I119" s="352" t="s">
        <v>103</v>
      </c>
      <c r="J119" s="415">
        <f>M116+G118-J114</f>
        <v>259.59240861565513</v>
      </c>
      <c r="K119" s="620">
        <f>M116+G118</f>
        <v>262.5032076647499</v>
      </c>
      <c r="L119" s="322"/>
      <c r="M119" s="571"/>
      <c r="N119" s="571"/>
      <c r="O119" s="571"/>
      <c r="Y119" s="322"/>
      <c r="Z119" s="322"/>
      <c r="AA119" s="322"/>
      <c r="AB119" s="322"/>
      <c r="AC119" s="322"/>
      <c r="AD119" s="322"/>
    </row>
    <row r="120" spans="8:8" customHeight="1">
      <c r="A120" s="673" t="s">
        <v>101</v>
      </c>
      <c r="B120" s="673" t="s">
        <v>102</v>
      </c>
      <c r="C120" s="672"/>
      <c r="D120" s="671"/>
      <c r="E120" s="648"/>
      <c r="F120" s="578"/>
      <c r="G120" s="578"/>
      <c r="H120" s="322"/>
      <c r="I120" s="388" t="s">
        <v>104</v>
      </c>
      <c r="J120" s="423">
        <f>M116+G118+J115</f>
        <v>266.185399530122</v>
      </c>
      <c r="K120" s="322"/>
      <c r="L120" s="322"/>
      <c r="M120" s="674" t="s">
        <v>17</v>
      </c>
      <c r="N120" s="675" t="s">
        <v>101</v>
      </c>
      <c r="O120" s="675" t="s">
        <v>102</v>
      </c>
      <c r="P120" s="676">
        <v>100.0</v>
      </c>
      <c r="Q120" s="677">
        <v>1.325</v>
      </c>
      <c r="Y120" s="322"/>
      <c r="Z120" s="322"/>
      <c r="AA120" s="322"/>
      <c r="AB120" s="322"/>
      <c r="AC120" s="322"/>
      <c r="AD120" s="322"/>
    </row>
    <row r="121" spans="8:8" ht="13.5" customHeight="1">
      <c r="A121" s="678">
        <f>G123</f>
        <v>5.01016043836729</v>
      </c>
      <c r="B121" s="679">
        <f>G124</f>
        <v>5.23585825588413</v>
      </c>
      <c r="C121" s="672"/>
      <c r="D121" s="671"/>
      <c r="E121" s="636"/>
      <c r="F121" s="322"/>
      <c r="G121" s="322"/>
      <c r="H121" s="322"/>
      <c r="I121" s="322"/>
      <c r="J121" s="322"/>
      <c r="K121" s="322"/>
      <c r="L121" s="322"/>
      <c r="M121" s="680"/>
      <c r="N121" s="681">
        <f>MOD(F123,100/360)</f>
        <v>0.1471201695471953</v>
      </c>
      <c r="O121" s="681">
        <f>MOD(F124,100/360)</f>
        <v>0.01993706331349221</v>
      </c>
      <c r="P121" s="682">
        <v>90.0</v>
      </c>
      <c r="Q121" s="683">
        <v>1.619</v>
      </c>
      <c r="Y121" s="322"/>
      <c r="Z121" s="322"/>
      <c r="AA121" s="322"/>
      <c r="AB121" s="322"/>
      <c r="AC121" s="322"/>
      <c r="AD121" s="322"/>
    </row>
    <row r="122" spans="8:8" customHeight="1">
      <c r="A122" s="684">
        <f>F123</f>
        <v>97.36934239176942</v>
      </c>
      <c r="B122" s="685">
        <f>F124</f>
        <v>99.18660372998016</v>
      </c>
      <c r="D122" s="636"/>
      <c r="E122" s="637" t="s">
        <v>95</v>
      </c>
      <c r="F122" s="584" t="s">
        <v>115</v>
      </c>
      <c r="G122" s="584" t="s">
        <v>77</v>
      </c>
      <c r="H122" s="584" t="s">
        <v>18</v>
      </c>
      <c r="I122" s="322"/>
      <c r="J122" s="584" t="s">
        <v>14</v>
      </c>
      <c r="K122" s="584" t="s">
        <v>78</v>
      </c>
      <c r="L122" s="584" t="s">
        <v>15</v>
      </c>
      <c r="M122" s="680"/>
      <c r="N122" s="686">
        <f>100-N121*360</f>
        <v>47.0367389630097</v>
      </c>
      <c r="O122" s="686">
        <f>100-O121*360</f>
        <v>92.8226572071428</v>
      </c>
      <c r="P122" s="682">
        <v>80.0</v>
      </c>
      <c r="Q122" s="683">
        <v>2.095</v>
      </c>
      <c r="Y122" s="322"/>
      <c r="Z122" s="322"/>
      <c r="AA122" s="322"/>
      <c r="AB122" s="322"/>
      <c r="AC122" s="322"/>
      <c r="AD122" s="322"/>
    </row>
    <row r="123" spans="8:8" customHeight="1">
      <c r="A123" s="687">
        <f>IF(A122&lt;79.7,"#VALUE!",IF(A122&gt;100.1,"#VALUE!",(360-ROUNDDOWN((1-(A122/100))*360,0))*286/360))</f>
        <v>278.85</v>
      </c>
      <c r="B123" s="688">
        <f>IF(B122&lt;79.7,"#VALUE!",IF(B122&gt;100.1,"#VALUE!",(360-ROUNDDOWN((1-(B122/100))*360,0))*286/360))</f>
        <v>284.4111111111111</v>
      </c>
      <c r="C123" s="689"/>
      <c r="D123" s="637" t="s">
        <v>101</v>
      </c>
      <c r="E123" s="638">
        <f>IF(M121=0,INDEX(Caliper!E111:E363,(ROUNDDOWN(((F123-30)/(20/72)+1),0)),1),INDEX(Caliper!E111:E363,(ROUNDUP(((F123-30)/(20/72))+1,0)),1))</f>
        <v>278.0555555555757</v>
      </c>
      <c r="F123" s="446">
        <f>100*(J119-B112)*(J119-B113)*(J119-B114)*(J119-B115)/((B111-B112)*(B111-B113)*(B111-B114)*(B111-B115))+95*(J119-B111)*(J119-B113)*(J119-B114)*(J119-B115)/((B112-B111)*(B112-B113)*(B112-B114)*(B112-B115))+90*(J119-B111)*(J119-B112)*(J119-B114)*(J119-B115)/((B113-B111)*(B113-B112)*(B113-B114)*(B113-B115))+85*(J119-B111)*(J119-B112)*(J119-B113)*(J119-B115)/((B114-B111)*(B114-B112)*(B114-B113)*(B114-B115))+80*(J119-B111)*(J119-B112)*(J119-B113)*(J119-B114)/((B115-B111)*(B115-B112)*(B115-B113)*(B115-B114))</f>
        <v>97.36934239176942</v>
      </c>
      <c r="G123" s="446">
        <f>G113+H113</f>
        <v>5.01016043836729</v>
      </c>
      <c r="H123" s="445">
        <f>N124</f>
        <v>29.348682333646924</v>
      </c>
      <c r="I123" s="584" t="s">
        <v>7</v>
      </c>
      <c r="J123" s="355">
        <f>R112</f>
        <v>3.681993766249175</v>
      </c>
      <c r="K123" s="448">
        <v>1.0122</v>
      </c>
      <c r="L123" s="355">
        <f>W115</f>
        <v>0.6009434325852224</v>
      </c>
      <c r="M123" s="680"/>
      <c r="N123" s="690">
        <f>IF(F123&gt;P122,Q120*(F123-P121)*(F123-P122)/((P120-P121)*(P120-P122))+Q121*(F123-P120)*(F123-P122)/((P121-P120)*(P121-P122))+Q122*(F123-P120)*(F123-P121)/((P122-P120)*(P122-P121)),Q122*(F123-P123)*(F123-P124)/((P122-P123)*(P122-P124))+Q123*(F123-P122)*(F123-P124)/((P123-P122)*(P123-P124))+Q124*(F123-P122)*(F123-P123)/((P124-P122)*(P124-P123)))</f>
        <v>1.3846998765481653</v>
      </c>
      <c r="O123" s="691">
        <f>IF(F124&gt;P122,Q120*(F124-P121)*(F124-P122)/((P120-P121)*(P120-P122))+Q121*(F124-P120)*(F124-P122)/((P121-P120)*(P121-P122))+Q122*(F124-P120)*(F124-P121)/((P122-P120)*(P122-P121)),Q122*(F124-P123)*(F124-P124)/((P122-P123)*(P122-P124))+Q123*(F124-P122)*(F124-P124)/((P123-P122)*(P123-P124))+Q124*(F124-P122)*(F124-P123)/((P124-P122)*(P124-P123)))</f>
        <v>1.3421140125591973</v>
      </c>
      <c r="P123" s="682">
        <v>70.0</v>
      </c>
      <c r="Q123" s="683">
        <v>2.489</v>
      </c>
      <c r="Y123" s="322"/>
      <c r="Z123" s="322"/>
      <c r="AA123" s="322"/>
      <c r="AB123" s="322"/>
      <c r="AC123" s="322"/>
      <c r="AD123" s="322"/>
    </row>
    <row r="124" spans="8:8" customHeight="1">
      <c r="A124" s="692">
        <f>H123</f>
        <v>29.348682333646924</v>
      </c>
      <c r="B124" s="692">
        <f>H124</f>
        <v>28.75421411079315</v>
      </c>
      <c r="C124" s="689"/>
      <c r="D124" s="637" t="s">
        <v>102</v>
      </c>
      <c r="E124" s="638">
        <f>IF(N121=0,INDEX(Caliper!E111:E363,(ROUNDDOWN(((F124-30)/(20/72)+1),0)),1),INDEX(Caliper!E111:E363,(ROUNDUP(((F124-30)/(20/72))+1,0)),1))</f>
        <v>284.4111111111318</v>
      </c>
      <c r="F124" s="446">
        <f>100*(J120-B112)*(J120-B113)*(J120-B114)*(J120-B115)/((B111-B112)*(B111-B113)*(B111-B114)*(B111-B115))+95*(J120-B111)*(J120-B113)*(J120-B114)*(J120-B115)/((B112-B111)*(B112-B113)*(B112-B114)*(B112-B115))+90*(J120-B111)*(J120-B112)*(J120-B114)*(J120-B115)/((B113-B111)*(B113-B112)*(B113-B114)*(B113-B115))+85*(J120-B111)*(J120-B112)*(J120-B113)*(J120-B115)/((B114-B111)*(B114-B112)*(B114-B113)*(B114-B115))+80*(J120-B111)*(J120-B112)*(J120-B113)*(J120-B114)/((B115-B111)*(B115-B112)*(B115-B113)*(B115-B114))</f>
        <v>99.18660372998016</v>
      </c>
      <c r="G124" s="446">
        <f>G114+H114</f>
        <v>5.23585825588413</v>
      </c>
      <c r="H124" s="445">
        <f>O124</f>
        <v>28.75421411079315</v>
      </c>
      <c r="I124" s="584" t="s">
        <v>13</v>
      </c>
      <c r="J124" s="355"/>
      <c r="K124" s="448"/>
      <c r="L124" s="355"/>
      <c r="M124" s="674" t="s">
        <v>464</v>
      </c>
      <c r="N124" s="446">
        <f>30-(N123*N122/100)</f>
        <v>29.348682333646924</v>
      </c>
      <c r="O124" s="446">
        <f>30-(O123*O122/100)</f>
        <v>28.75421411079315</v>
      </c>
      <c r="P124" s="693">
        <v>60.0</v>
      </c>
      <c r="Q124" s="694">
        <v>3.083</v>
      </c>
      <c r="Z124" s="322"/>
      <c r="AA124" s="322"/>
      <c r="AB124" s="322"/>
      <c r="AC124" s="322"/>
      <c r="AD124" s="322"/>
    </row>
    <row r="125" spans="8:8" ht="13.5" customHeight="1">
      <c r="A125" s="672"/>
      <c r="B125" s="672"/>
      <c r="C125" s="672"/>
      <c r="D125" s="648"/>
      <c r="E125" s="695"/>
      <c r="F125" s="656"/>
      <c r="G125" s="656"/>
      <c r="H125" s="578"/>
      <c r="I125" s="696"/>
      <c r="J125" s="656"/>
      <c r="K125" s="578"/>
      <c r="L125" s="578"/>
      <c r="M125" s="578"/>
      <c r="N125" s="578"/>
      <c r="O125" s="578"/>
      <c r="P125" s="322"/>
      <c r="U125" s="322"/>
      <c r="V125" s="322"/>
      <c r="W125" s="322"/>
      <c r="X125" s="322"/>
      <c r="Y125" s="322"/>
      <c r="Z125" s="322"/>
      <c r="AA125" s="322"/>
      <c r="AB125" s="322"/>
      <c r="AC125" s="322"/>
      <c r="AD125" s="322"/>
    </row>
    <row r="126" spans="8:8" ht="13.5" customHeight="1">
      <c r="A126" s="697"/>
      <c r="B126" s="698"/>
      <c r="C126" s="698"/>
      <c r="D126" s="698"/>
      <c r="E126" s="698"/>
      <c r="F126" s="698"/>
      <c r="G126" s="698"/>
      <c r="H126" s="698"/>
      <c r="I126" s="698"/>
      <c r="J126" s="698"/>
      <c r="K126" s="698"/>
      <c r="L126" s="698"/>
      <c r="M126" s="698"/>
      <c r="N126" s="698"/>
      <c r="O126" s="698"/>
      <c r="P126" s="698"/>
      <c r="Q126" s="698"/>
      <c r="R126" s="698"/>
      <c r="S126" s="698"/>
      <c r="T126" s="698"/>
      <c r="U126" s="698"/>
      <c r="V126" s="698"/>
      <c r="W126" s="698"/>
      <c r="X126" s="698"/>
      <c r="Y126" s="699"/>
      <c r="Z126" s="322"/>
      <c r="AA126" s="322"/>
      <c r="AB126" s="322"/>
      <c r="AC126" s="322"/>
      <c r="AD126" s="322"/>
    </row>
    <row r="127" spans="8:8" ht="13.5" customHeight="1">
      <c r="A127" s="700">
        <v>286.0</v>
      </c>
      <c r="B127" s="701"/>
      <c r="C127" s="702"/>
      <c r="D127" s="703" t="s">
        <v>445</v>
      </c>
      <c r="E127" s="704"/>
      <c r="F127" s="704"/>
      <c r="G127" s="705"/>
      <c r="H127" s="706"/>
      <c r="I127" s="706"/>
      <c r="J127" s="706"/>
      <c r="K127" s="706"/>
      <c r="L127" s="706"/>
      <c r="M127" s="706"/>
      <c r="N127" s="706"/>
      <c r="O127" s="571"/>
      <c r="P127" s="571"/>
      <c r="Q127" s="673" t="s">
        <v>126</v>
      </c>
      <c r="R127" s="707">
        <f>Calculadora!B1</f>
        <v>261.88</v>
      </c>
      <c r="S127" s="571"/>
      <c r="T127" s="708" t="s">
        <v>281</v>
      </c>
      <c r="U127" s="709" t="s">
        <v>471</v>
      </c>
      <c r="V127" s="709"/>
      <c r="W127" s="571"/>
      <c r="X127" s="571"/>
      <c r="Y127" s="571" t="s">
        <v>76</v>
      </c>
      <c r="Z127" s="710">
        <f>SIN(RADIANS(R130))</f>
        <v>0.8650638772571638</v>
      </c>
      <c r="AA127" s="571"/>
      <c r="AB127" s="571"/>
      <c r="AC127" s="571"/>
      <c r="AD127" s="571"/>
      <c r="AE127" s="571"/>
    </row>
    <row r="128" spans="8:8" ht="13.5" customHeight="1">
      <c r="A128" s="711"/>
      <c r="B128" s="712"/>
      <c r="C128" s="702"/>
      <c r="D128" s="713"/>
      <c r="E128" s="714"/>
      <c r="F128" s="714"/>
      <c r="G128" s="715"/>
      <c r="H128" s="706"/>
      <c r="I128" s="706"/>
      <c r="J128" s="706"/>
      <c r="K128" s="706"/>
      <c r="L128" s="706"/>
      <c r="M128" s="571"/>
      <c r="N128" s="571"/>
      <c r="O128" s="571"/>
      <c r="P128" s="571"/>
      <c r="Q128" s="673" t="s">
        <v>130</v>
      </c>
      <c r="R128" s="707">
        <f>Calculadora!B2</f>
        <v>0.95</v>
      </c>
      <c r="S128" s="571"/>
      <c r="T128" s="708"/>
      <c r="U128" s="716">
        <v>0.9</v>
      </c>
      <c r="V128" s="716">
        <v>0.8</v>
      </c>
      <c r="W128" s="571"/>
      <c r="X128" s="571"/>
      <c r="Y128" s="571" t="s">
        <v>75</v>
      </c>
      <c r="Z128" s="710">
        <f>COS(RADIANS(R130))</f>
        <v>0.5016617269284179</v>
      </c>
      <c r="AA128" s="571"/>
      <c r="AB128" s="690"/>
      <c r="AC128" s="571"/>
      <c r="AD128" s="571"/>
      <c r="AE128" s="571"/>
    </row>
    <row r="129" spans="8:8" ht="13.5" customHeight="1">
      <c r="A129" s="717" t="s">
        <v>446</v>
      </c>
      <c r="B129" s="717"/>
      <c r="C129" s="718">
        <f>9.80665-0.05005</f>
        <v>9.756599999999999</v>
      </c>
      <c r="D129" s="719" t="s">
        <v>447</v>
      </c>
      <c r="E129" s="719"/>
      <c r="F129" s="719"/>
      <c r="G129" s="706"/>
      <c r="H129" s="706"/>
      <c r="I129" s="720" t="s">
        <v>85</v>
      </c>
      <c r="J129" s="571"/>
      <c r="K129" s="720" t="s">
        <v>448</v>
      </c>
      <c r="L129" s="720" t="s">
        <v>449</v>
      </c>
      <c r="M129" s="571"/>
      <c r="N129" s="571"/>
      <c r="O129" s="571"/>
      <c r="P129" s="706"/>
      <c r="Q129" s="673" t="s">
        <v>93</v>
      </c>
      <c r="R129" s="707">
        <f>Calculadora!B3</f>
        <v>5.0</v>
      </c>
      <c r="S129" s="571"/>
      <c r="T129" s="721" t="s">
        <v>450</v>
      </c>
      <c r="U129" s="722">
        <v>7.767</v>
      </c>
      <c r="V129" s="722">
        <v>16.336</v>
      </c>
      <c r="W129" s="675">
        <f>0*(R133-0.9)*(R133-0.8)/((1-0.9)*(1-0.8))+U129*(R133-1)*(R133-0.8)/((0.9-1)*(0.9-0.8))+V129*(R133-1)*(R133-0.9)/((0.8-1)*(0.8-0.9))</f>
        <v>0.0</v>
      </c>
      <c r="X129" s="571"/>
      <c r="Y129" s="571"/>
      <c r="Z129" s="571"/>
      <c r="AA129" s="571"/>
      <c r="AB129" s="690"/>
      <c r="AC129" s="571"/>
      <c r="AD129" s="571"/>
      <c r="AE129" s="571"/>
    </row>
    <row r="130" spans="8:8" ht="13.5" customHeight="1">
      <c r="A130" s="717"/>
      <c r="B130" s="717"/>
      <c r="C130" s="718"/>
      <c r="D130" s="719"/>
      <c r="E130" s="719"/>
      <c r="F130" s="719"/>
      <c r="G130" s="706"/>
      <c r="H130" s="723" t="s">
        <v>451</v>
      </c>
      <c r="I130" s="724">
        <f>V131</f>
        <v>261.88</v>
      </c>
      <c r="J130" s="571"/>
      <c r="K130" s="571"/>
      <c r="L130" s="706"/>
      <c r="M130" s="571"/>
      <c r="N130" s="571"/>
      <c r="O130" s="571"/>
      <c r="P130" s="706"/>
      <c r="Q130" s="673" t="s">
        <v>137</v>
      </c>
      <c r="R130" s="725">
        <f>Calculadora!B4</f>
        <v>59.89</v>
      </c>
      <c r="S130" s="571"/>
      <c r="T130" s="721" t="s">
        <v>452</v>
      </c>
      <c r="U130" s="722" t="e">
        <f>U129*(R127/C143)</f>
        <v>#DIV/0!</v>
      </c>
      <c r="V130" s="722" t="e">
        <f>V129*(R127/C143)</f>
        <v>#DIV/0!</v>
      </c>
      <c r="W130" s="675" t="e">
        <f>0*(R133-0.9)*(R133-0.8)/((1-0.9)*(1-0.8))+U130*(R133-1)*(R133-0.8)/((0.9-1)*(0.9-0.8))+V130*(R133-1)*(R133-0.9)/((0.8-1)*(0.8-0.9))</f>
        <v>#DIV/0!</v>
      </c>
      <c r="X130" s="571"/>
      <c r="Y130" s="571"/>
      <c r="Z130" s="571"/>
      <c r="AA130" s="571"/>
      <c r="AB130" s="690"/>
      <c r="AC130" s="571"/>
      <c r="AD130" s="571"/>
      <c r="AE130" s="571"/>
    </row>
    <row r="131" spans="8:8" ht="13.5" customHeight="1">
      <c r="A131" s="726">
        <v>1.0</v>
      </c>
      <c r="B131" s="675" t="s">
        <v>150</v>
      </c>
      <c r="C131" s="727">
        <f>IF(R128&gt;0.12,L153*R128^5+M153*R128^4+N153*R128^3+O153*R128^2+P153*R128^1+Q153,C153*R128^5+D153*R128^4+E153*R128^3+F153*R128^2+G153*R128^1+H153)</f>
        <v>0.0</v>
      </c>
      <c r="D131" s="571"/>
      <c r="E131" s="571"/>
      <c r="F131" s="571"/>
      <c r="G131" s="706"/>
      <c r="H131" s="723" t="s">
        <v>453</v>
      </c>
      <c r="I131" s="724" t="e">
        <f>IF(I130&gt;C139,K131,L131)</f>
        <v>#DIV/0!</v>
      </c>
      <c r="J131" s="571"/>
      <c r="K131" s="728" t="e">
        <f>I130-((COS(RADIANS(R130)))*R129*(ABS((C131-C133)*(I130-C137)*(I130-C141)/((C133-C137)*(C133-C141))+(C135-C137)*(I130-C133)*(I130-C141)/((C137-C133)*(C137-C141))+(C139-C141)*(I130-C133)*(I130-C137)/((C141-C133)*(C141-C137)))/9))</f>
        <v>#DIV/0!</v>
      </c>
      <c r="L131" s="728" t="e">
        <f>I130-((COS(RADIANS(R130)))*R129*(ABS((C139-C141)*(I130-C145)*(I130-C149)/((C141-C145)*(C141-C149))+(C143-C145)*(I130-C141)*(I130-C149)/((C145-C141)*(C145-C149))+(C147-C149)*(I130-C141)*(I130-C145)/((C149-C141)*(C149-C145)))/9))</f>
        <v>#DIV/0!</v>
      </c>
      <c r="M131" s="571"/>
      <c r="N131" s="571"/>
      <c r="O131" s="571"/>
      <c r="P131" s="706"/>
      <c r="Q131" s="673" t="s">
        <v>454</v>
      </c>
      <c r="R131" s="707">
        <f>Calculadora!B5</f>
        <v>0.0</v>
      </c>
      <c r="S131" s="571"/>
      <c r="T131" s="729">
        <f>IF(T127="1w",0,IF(T127="2w",20,IF(T127="3w",40)))</f>
        <v>0.0</v>
      </c>
      <c r="U131" s="674" t="s">
        <v>110</v>
      </c>
      <c r="V131" s="730">
        <f>IF(R127&gt;=C147,R127+W129-ABS(R131*0.05),R127+W130-ABS(R131*0.05))</f>
        <v>261.88</v>
      </c>
      <c r="W131" s="731"/>
      <c r="X131" s="571"/>
      <c r="Y131" s="571"/>
      <c r="Z131" s="571"/>
      <c r="AA131" s="571"/>
      <c r="AB131" s="690"/>
      <c r="AC131" s="571"/>
      <c r="AD131" s="571"/>
      <c r="AE131" s="571"/>
    </row>
    <row r="132" spans="8:8" ht="13.5" customHeight="1">
      <c r="A132" s="732"/>
      <c r="B132" s="675" t="s">
        <v>455</v>
      </c>
      <c r="C132" s="733">
        <f>(IF(R128&gt;0.12,L154*R128^5+M154*R128^4+N154*R128^3+O154*R128^2+P154*R128^1+Q154,C154*R128^5+D154*R128^4+E154*R128^3+F154*R128^2+G154*R128^1+H154)+C129)/54</f>
        <v>0.18067777777777774</v>
      </c>
      <c r="D132" s="571"/>
      <c r="E132" s="571"/>
      <c r="F132" s="571"/>
      <c r="G132" s="706"/>
      <c r="H132" s="723" t="s">
        <v>456</v>
      </c>
      <c r="I132" s="724" t="e">
        <f>IF(I130&gt;C139,K132,L132)</f>
        <v>#DIV/0!</v>
      </c>
      <c r="J132" s="571"/>
      <c r="K132" s="728" t="e">
        <f>I130+((COS(RADIANS(R130)))*R129*(ABS((C131-C134)*(I130-C138)*(I130-C142)/((C134-C138)*(C134-C142))+(C135-C138)*(I130-C134)*(I130-C142)/((C138-C134)*(C138-C142))+(C139-C142)*(I130-C134)*(I130-C138)/((C142-C134)*(C142-C138)))/9))</f>
        <v>#DIV/0!</v>
      </c>
      <c r="L132" s="728" t="e">
        <f>I130+((COS(RADIANS(R130)))*R129*(ABS((C139-C142)*(I130-C146)*(I130-C150)/((C142-C146)*(C142-C150))+(C143-C146)*(I130-C142)*(I130-C150)/((C146-C142)*(C146-C150))+(C147-C150)*(I130-C142)*(I130-C146)/((C150-C142)*(C150-C146)))/9))</f>
        <v>#DIV/0!</v>
      </c>
      <c r="M132" s="571"/>
      <c r="N132" s="571"/>
      <c r="O132" s="571"/>
      <c r="P132" s="706"/>
      <c r="Q132" s="673" t="s">
        <v>457</v>
      </c>
      <c r="R132" s="734">
        <f>Calculadora!B6</f>
        <v>0.0</v>
      </c>
      <c r="S132" s="571"/>
      <c r="T132" s="571"/>
      <c r="U132" s="571"/>
      <c r="V132" s="571"/>
      <c r="W132" s="571"/>
      <c r="X132" s="571"/>
      <c r="Y132" s="571"/>
      <c r="Z132" s="571"/>
      <c r="AA132" s="571"/>
      <c r="AB132" s="690"/>
      <c r="AC132" s="571"/>
      <c r="AD132" s="571"/>
      <c r="AE132" s="571"/>
    </row>
    <row r="133" spans="8:8" ht="13.5" customHeight="1">
      <c r="A133" s="732"/>
      <c r="B133" s="675" t="s">
        <v>458</v>
      </c>
      <c r="C133" s="727">
        <f>IF(R128&gt;0.12,L155*R128^5+M155*R128^4+N155*R128^3+O155*R128^2+P155*R128^1+Q155,C155*R128^5+D155*R128^4+E155*R128^3+F155*R128^2+G155*R128^1+H155)</f>
        <v>0.0</v>
      </c>
      <c r="D133" s="571"/>
      <c r="E133" s="571"/>
      <c r="F133" s="706"/>
      <c r="G133" s="706"/>
      <c r="H133" s="735"/>
      <c r="I133" s="571"/>
      <c r="J133" s="571"/>
      <c r="K133" s="706"/>
      <c r="L133" s="706"/>
      <c r="M133" s="571"/>
      <c r="N133" s="571"/>
      <c r="O133" s="571"/>
      <c r="P133" s="706"/>
      <c r="Q133" s="673" t="s">
        <v>140</v>
      </c>
      <c r="R133" s="736">
        <f>Calculadora!B7</f>
        <v>1.0</v>
      </c>
      <c r="S133" s="571"/>
      <c r="T133" s="571"/>
      <c r="U133" s="571"/>
      <c r="V133" s="571"/>
      <c r="W133" s="571"/>
      <c r="X133" s="571"/>
      <c r="Y133" s="737"/>
      <c r="Z133" s="626"/>
      <c r="AA133" s="626"/>
      <c r="AB133" s="626"/>
      <c r="AC133" s="571"/>
      <c r="AD133" s="571"/>
      <c r="AE133" s="571"/>
    </row>
    <row r="134" spans="8:8" ht="13.5" customHeight="1">
      <c r="A134" s="738"/>
      <c r="B134" s="675" t="s">
        <v>459</v>
      </c>
      <c r="C134" s="733">
        <f>IF(R128&gt;0.12,L156*R128^5+M156*R128^4+N156*R128^3+O156*R128^2+P156*R128^1+Q156,C156*R128^5+D156*R128^4+E156*R128^3+F156*R128^2+G156*R128^1+H156)</f>
        <v>0.0</v>
      </c>
      <c r="D134" s="571"/>
      <c r="E134" s="571"/>
      <c r="F134" s="706"/>
      <c r="G134" s="706"/>
      <c r="H134" s="735" t="s">
        <v>460</v>
      </c>
      <c r="I134" s="724" t="e">
        <f>IF(I131&gt;C139,K134,L134)</f>
        <v>#DIV/0!</v>
      </c>
      <c r="J134" s="571"/>
      <c r="K134" s="728" t="e">
        <f>((C132*(I130-C135)*(I130-C139)/((C131-C135)*(C131-C139))+C136*(I130-C131)*(I130-C139)/((C135-C131)*(C135-C139))+C140*(I130-C131)*(I130-C135)/((C139-C131)*(C139-C135)))*(SIN(RADIANS(R130)))*R129)*((100+((I130-K131)*2.75/-4))/100)+((C132*(I130-C135)*(I130-C139)/((C131-C135)*(C131-C139))+C136*(I130-C131)*(I130-C139)/((C135-C131)*(C135-C139))+C140*(I130-C131)*(I130-C135)/((C139-C131)*(C139-C135)))*R131/4)</f>
        <v>#DIV/0!</v>
      </c>
      <c r="L134" s="728" t="e">
        <f>((C140*(I130-C143)*(I130-C147)/((C139-C143)*(C139-C147))+C144*(I130-C139)*(I130-C147)/((C143-C139)*(C143-C147))+C148*(I130-C139)*(I130-C143)/((C147-C139)*(C147-C143)))*(SIN(RADIANS(R130)))*R129)*((100+((I130-L131)*2.75/-4))/100)+((C140*(I130-C143)*(I130-C147)/((C139-C143)*(C139-C147))+C144*(I130-C139)*(I130-C147)/((C143-C139)*(C143-C147))+C148*(I130-C139)*(I130-C143)/((C147-C139)*(C147-C143)))*R131/4)</f>
        <v>#DIV/0!</v>
      </c>
      <c r="M134" s="571"/>
      <c r="N134" s="571"/>
      <c r="O134" s="571"/>
      <c r="P134" s="706"/>
      <c r="Q134" s="706"/>
      <c r="R134" s="571"/>
      <c r="S134" s="571"/>
      <c r="T134" s="571"/>
      <c r="U134" s="571"/>
      <c r="V134" s="571"/>
      <c r="W134" s="571"/>
      <c r="X134" s="571"/>
      <c r="Y134" s="737"/>
      <c r="Z134" s="626"/>
      <c r="AA134" s="626"/>
      <c r="AB134" s="626"/>
      <c r="AC134" s="571"/>
      <c r="AD134" s="571"/>
      <c r="AE134" s="571"/>
    </row>
    <row r="135" spans="8:8" ht="13.5" customHeight="1">
      <c r="A135" s="726">
        <v>0.95</v>
      </c>
      <c r="B135" s="675" t="s">
        <v>150</v>
      </c>
      <c r="C135" s="727">
        <f>IF(R128&gt;0.12,L157*R128^5+M157*R128^4+N157*R128^3+O157*R128^2+P157*R128^1+Q157,C157*R128^5+D157*R128^4+E157*R128^3+F157*R128^2+G157*R128^1+H157)</f>
        <v>0.0</v>
      </c>
      <c r="D135" s="571"/>
      <c r="E135" s="571"/>
      <c r="F135" s="706"/>
      <c r="G135" s="706"/>
      <c r="H135" s="723" t="s">
        <v>461</v>
      </c>
      <c r="I135" s="724" t="e">
        <f>IF(I132&gt;C139,K135,L135)</f>
        <v>#DIV/0!</v>
      </c>
      <c r="J135" s="571"/>
      <c r="K135" s="728" t="e">
        <f>((C132*(I130-C135)*(I130-C139)/((C131-C135)*(C131-C139))+C136*(I130-C131)*(I130-C139)/((C135-C131)*(C135-C139))+C140*(I130-C131)*(I130-C135)/((C139-C131)*(C139-C135)))*(SIN(RADIANS(R130)))*R129)/((100+((K132-I130)*4/-6.25))/100)+((C132*(I130-C135)*(I130-C139)/((C131-C135)*(C131-C139))+C136*(I130-C131)*(I130-C139)/((C135-C131)*(C135-C139))+C140*(I130-C131)*(I130-C135)/((C139-C131)*(C139-C135)))*R131/4)</f>
        <v>#DIV/0!</v>
      </c>
      <c r="L135" s="728" t="e">
        <f>((C140*(I130-C143)*(I130-C147)/((C139-C143)*(C139-C147))+C144*(I130-C139)*(I130-C147)/((C143-C139)*(C143-C147))+C148*(I130-C139)*(I130-C143)/((C147-C139)*(C147-C143)))*(SIN(RADIANS(R130)))*R129)/((100+((L132-I130)*4/-6.25))/100)+((C140*(I130-C143)*(I130-C147)/((C139-C143)*(C139-C147))+C144*(I130-C139)*(I130-C147)/((C143-C139)*(C143-C147))+C148*(I130-C139)*(I130-C143)/((C147-C139)*(C147-C143)))*R131/4)</f>
        <v>#DIV/0!</v>
      </c>
      <c r="M135" s="571"/>
      <c r="N135" s="571"/>
      <c r="O135" s="571"/>
      <c r="P135" s="626"/>
      <c r="Q135" s="571"/>
      <c r="R135" s="571"/>
      <c r="S135" s="571"/>
      <c r="T135" s="571"/>
      <c r="U135" s="571"/>
      <c r="V135" s="571"/>
      <c r="W135" s="571"/>
      <c r="X135" s="571"/>
      <c r="Y135" s="571"/>
      <c r="Z135" s="571"/>
      <c r="AA135" s="571"/>
      <c r="AB135" s="690"/>
      <c r="AC135" s="571"/>
      <c r="AD135" s="571"/>
      <c r="AE135" s="571"/>
    </row>
    <row r="136" spans="8:8" ht="13.5" customHeight="1">
      <c r="A136" s="732"/>
      <c r="B136" s="675" t="s">
        <v>455</v>
      </c>
      <c r="C136" s="733">
        <f>(IF(R128&gt;0.12,L158*R128^5+M158*R128^4+N158*R128^3+O158*R128^2+P158*R128^1+Q158,C158*R128^5+D158*R128^4+E158*R128^3+F158*R128^2+G158*R128^1+H158)+C159)/54</f>
        <v>-9.413580185185185E-11</v>
      </c>
      <c r="D136" s="571"/>
      <c r="E136" s="571"/>
      <c r="F136" s="706"/>
      <c r="G136" s="706"/>
      <c r="H136" s="739"/>
      <c r="I136" s="571"/>
      <c r="J136" s="706"/>
      <c r="K136" s="706"/>
      <c r="L136" s="571"/>
      <c r="M136" s="571"/>
      <c r="N136" s="571"/>
      <c r="O136" s="571"/>
      <c r="P136" s="571"/>
      <c r="Q136" s="571"/>
      <c r="R136" s="571"/>
      <c r="S136" s="571"/>
      <c r="T136" s="571"/>
      <c r="U136" s="571"/>
      <c r="V136" s="571"/>
      <c r="W136" s="571"/>
      <c r="X136" s="571"/>
      <c r="Y136" s="571"/>
      <c r="Z136" s="690"/>
      <c r="AA136" s="571"/>
      <c r="AB136" s="690"/>
      <c r="AC136" s="571"/>
      <c r="AD136" s="571"/>
      <c r="AE136" s="571"/>
    </row>
    <row r="137" spans="8:8" ht="13.5" customHeight="1">
      <c r="A137" s="732"/>
      <c r="B137" s="675" t="s">
        <v>458</v>
      </c>
      <c r="C137" s="727">
        <f>IF(R128&gt;0.12,L159*R128^5+M159*R128^4+N159*R128^3+O159*R128^2+P159*R128^1+Q159,C159*R128^5+D159*R128^4+E159*R128^3+F159*R128^2+G159*R128^1+H159)</f>
        <v>0.0</v>
      </c>
      <c r="D137" s="571"/>
      <c r="E137" s="571"/>
      <c r="F137" s="706"/>
      <c r="G137" s="706"/>
      <c r="H137" s="735" t="s">
        <v>462</v>
      </c>
      <c r="I137" s="724" t="e">
        <f>IF(I131&gt;C139,K137,L137)</f>
        <v>#DIV/0!</v>
      </c>
      <c r="J137" s="571"/>
      <c r="K137" s="728" t="e">
        <f>100*(K131-C135)*(K131-C139)/((C131-C135)*(C131-C139))+95*(K131-C131)*(K131-C139)/((C135-C131)*(C135-C139))+90*(K131-C131)*(K131-C135)/((C139-C131)*(C139-C135))</f>
        <v>#DIV/0!</v>
      </c>
      <c r="L137" s="728" t="e">
        <f>90*(L131-C143)*(L131-C147)/((C139-C143)*(C139-C147))+80*(L131-C139)*(L131-C147)/((C143-C139)*(C143-C147))+70*(L131-C139)*(L131-C143)/((C147-C139)*(C147-C143))</f>
        <v>#DIV/0!</v>
      </c>
      <c r="M137" s="571"/>
      <c r="N137" s="571"/>
      <c r="O137" s="571"/>
      <c r="P137" s="571"/>
      <c r="Q137" s="571"/>
      <c r="R137" s="571"/>
      <c r="S137" s="571"/>
      <c r="T137" s="571"/>
      <c r="U137" s="571"/>
      <c r="V137" s="571"/>
      <c r="W137" s="571"/>
      <c r="X137" s="571"/>
      <c r="Y137" s="571"/>
      <c r="Z137" s="690"/>
      <c r="AA137" s="571"/>
      <c r="AB137" s="690"/>
      <c r="AC137" s="571"/>
      <c r="AD137" s="571"/>
      <c r="AE137" s="571"/>
    </row>
    <row r="138" spans="8:8" ht="13.5" customHeight="1">
      <c r="A138" s="738"/>
      <c r="B138" s="675" t="s">
        <v>459</v>
      </c>
      <c r="C138" s="733">
        <f>IF(R128&gt;0.12,L160*R128^5+M160*R128^4+N160*R128^3+O160*R128^2+P160*R128^1+Q160,C160*R128^5+D160*R128^4+E160*R128^3+F160*R128^2+G160*R128^1+H160)</f>
        <v>0.0</v>
      </c>
      <c r="D138" s="571"/>
      <c r="E138" s="571"/>
      <c r="F138" s="706"/>
      <c r="G138" s="706"/>
      <c r="H138" s="735" t="s">
        <v>463</v>
      </c>
      <c r="I138" s="724" t="e">
        <f>IF(I132&gt;C139,K138,L138)</f>
        <v>#DIV/0!</v>
      </c>
      <c r="J138" s="571"/>
      <c r="K138" s="728" t="e">
        <f>100*(K132-C135)*(K132-C139)/((C131-C135)*(C131-C139))+95*(K132-C131)*(K132-C139)/((C135-C131)*(C135-C139))+90*(K132-C131)*(K132-C135)/((C139-C131)*(C139-C135))</f>
        <v>#DIV/0!</v>
      </c>
      <c r="L138" s="728" t="e">
        <f>90*(L132-C143)*(L132-C147)/((C139-C143)*(C139-C147))+80*(L132-C139)*(L132-C147)/((C143-C139)*(C143-C147))+70*(L132-C139)*(L132-C143)/((C147-C139)*(C147-C143))</f>
        <v>#DIV/0!</v>
      </c>
      <c r="M138" s="571"/>
      <c r="N138" s="571"/>
      <c r="O138" s="571"/>
      <c r="P138" s="571"/>
      <c r="Q138" s="571"/>
      <c r="R138" s="571"/>
      <c r="S138" s="571"/>
      <c r="T138" s="571"/>
      <c r="U138" s="571"/>
      <c r="V138" s="571"/>
      <c r="W138" s="571"/>
      <c r="X138" s="571"/>
      <c r="Y138" s="571"/>
      <c r="Z138" s="690"/>
      <c r="AA138" s="571"/>
      <c r="AB138" s="690"/>
      <c r="AC138" s="571"/>
      <c r="AD138" s="571"/>
      <c r="AE138" s="571"/>
    </row>
    <row r="139" spans="8:8" ht="13.5" customHeight="1">
      <c r="A139" s="726">
        <v>0.9</v>
      </c>
      <c r="B139" s="675" t="s">
        <v>150</v>
      </c>
      <c r="C139" s="727">
        <f>IF(R128&gt;0.12,L161*R128^5+M161*R128^4+N161*R128^3+O161*R128^2+P161*R128^1+Q161,C161*R128^5+D161*R128^4+E161*R128^3+F161*R128^2+G161*R128^1+H161)</f>
        <v>0.0</v>
      </c>
      <c r="D139" s="571"/>
      <c r="E139" s="571"/>
      <c r="F139" s="571"/>
      <c r="G139" s="571"/>
      <c r="H139" s="571"/>
      <c r="I139" s="571"/>
      <c r="J139" s="571"/>
      <c r="K139" s="571"/>
      <c r="L139" s="571"/>
      <c r="M139" s="571"/>
      <c r="N139" s="571"/>
      <c r="O139" s="571"/>
      <c r="P139" s="571"/>
      <c r="Q139" s="571"/>
      <c r="R139" s="571"/>
      <c r="S139" s="571"/>
      <c r="T139" s="571"/>
      <c r="U139" s="571"/>
      <c r="V139" s="571"/>
      <c r="W139" s="571"/>
      <c r="X139" s="571"/>
      <c r="Y139" s="571"/>
      <c r="Z139" s="690"/>
      <c r="AA139" s="571"/>
      <c r="AB139" s="690"/>
      <c r="AC139" s="571"/>
      <c r="AD139" s="571"/>
      <c r="AE139" s="571"/>
    </row>
    <row r="140" spans="8:8" ht="13.5" customHeight="1">
      <c r="A140" s="732"/>
      <c r="B140" s="675" t="s">
        <v>455</v>
      </c>
      <c r="C140" s="733">
        <f>(IF(R128&gt;0.12,L162*R128^5+M162*R128^4+N162*R128^3+O162*R128^2+P162*R128^1+Q162,C162*R128^5+D162*R128^4+E162*R128^3+F162*R128^2+G162*R128^1+H162)+C159)/54</f>
        <v>-9.413580185185185E-11</v>
      </c>
      <c r="D140" s="571"/>
      <c r="E140" s="571"/>
      <c r="F140" s="571"/>
      <c r="G140" s="571"/>
      <c r="H140" s="571"/>
      <c r="I140" s="571"/>
      <c r="J140" s="571"/>
      <c r="K140" s="571"/>
      <c r="L140" s="571"/>
      <c r="M140" s="571"/>
      <c r="N140" s="571"/>
      <c r="O140" s="571"/>
      <c r="P140" s="571"/>
      <c r="Q140" s="571"/>
      <c r="R140" s="571"/>
      <c r="S140" s="571"/>
      <c r="T140" s="571"/>
      <c r="U140" s="571"/>
      <c r="V140" s="571"/>
      <c r="W140" s="571"/>
      <c r="X140" s="571"/>
      <c r="Y140" s="571"/>
      <c r="Z140" s="690"/>
      <c r="AA140" s="571"/>
      <c r="AB140" s="690"/>
      <c r="AC140" s="571"/>
      <c r="AD140" s="571"/>
      <c r="AE140" s="571"/>
    </row>
    <row r="141" spans="8:8" ht="13.5" customHeight="1">
      <c r="A141" s="732"/>
      <c r="B141" s="675" t="s">
        <v>458</v>
      </c>
      <c r="C141" s="727">
        <f>IF(R128&gt;0.12,L163*R128^5+M163*R128^4+N163*R128^3+O163*R128^2+P163*R128^1+Q163,C163*R128^5+D163*R128^4+E163*R128^3+F163*R128^2+G163*R128^1+H163)</f>
        <v>0.0</v>
      </c>
      <c r="D141" s="571"/>
      <c r="E141" s="571"/>
      <c r="F141" s="571"/>
      <c r="G141" s="571"/>
      <c r="H141" s="571"/>
      <c r="I141" s="571"/>
      <c r="J141" s="571"/>
      <c r="K141" s="571"/>
      <c r="L141" s="571"/>
      <c r="M141" s="571"/>
      <c r="N141" s="571"/>
      <c r="O141" s="571"/>
      <c r="P141" s="571"/>
      <c r="Q141" s="571"/>
      <c r="R141" s="571"/>
      <c r="S141" s="571"/>
      <c r="T141" s="571"/>
      <c r="U141" s="571"/>
      <c r="V141" s="571"/>
      <c r="W141" s="571"/>
      <c r="X141" s="571"/>
      <c r="Y141" s="571"/>
      <c r="Z141" s="690"/>
      <c r="AA141" s="571"/>
      <c r="AB141" s="690"/>
      <c r="AC141" s="571"/>
      <c r="AD141" s="571"/>
      <c r="AE141" s="571"/>
    </row>
    <row r="142" spans="8:8" ht="13.5" customHeight="1">
      <c r="A142" s="738"/>
      <c r="B142" s="675" t="s">
        <v>459</v>
      </c>
      <c r="C142" s="733">
        <f>IF(R128&gt;0.12,L164*R128^5+M164*R128^4+N164*R128^3+O164*R128^2+P164*R128^1+Q164,C164*R128^5+D164*R128^4+E164*R128^3+F164*R128^2+G164*R128^1+H164)</f>
        <v>0.0</v>
      </c>
      <c r="D142" s="571"/>
      <c r="E142" s="571"/>
      <c r="F142" s="571"/>
      <c r="G142" s="571"/>
      <c r="H142" s="673" t="s">
        <v>101</v>
      </c>
      <c r="I142" s="673" t="s">
        <v>102</v>
      </c>
      <c r="J142" s="571"/>
      <c r="K142" s="674" t="s">
        <v>17</v>
      </c>
      <c r="L142" s="675" t="s">
        <v>101</v>
      </c>
      <c r="M142" s="675" t="s">
        <v>102</v>
      </c>
      <c r="N142" s="676">
        <v>100.0</v>
      </c>
      <c r="O142" s="677">
        <v>1.325</v>
      </c>
      <c r="P142" s="571"/>
      <c r="Q142" s="571"/>
      <c r="R142" s="571"/>
      <c r="S142" s="571"/>
      <c r="T142" s="571"/>
      <c r="U142" s="571"/>
      <c r="V142" s="571"/>
      <c r="W142" s="571"/>
      <c r="X142" s="571"/>
      <c r="Y142" s="571"/>
      <c r="Z142" s="690"/>
      <c r="AA142" s="571"/>
      <c r="AB142" s="571"/>
      <c r="AC142" s="571"/>
      <c r="AD142" s="571"/>
      <c r="AE142" s="571"/>
    </row>
    <row r="143" spans="8:8" ht="13.5" customHeight="1">
      <c r="A143" s="726">
        <v>0.8</v>
      </c>
      <c r="B143" s="675" t="s">
        <v>150</v>
      </c>
      <c r="C143" s="727">
        <f>IF(R128&gt;0.12,L165*R128^5+M165*R128^4+N165*R128^3+O165*R128^2+P165*R128^1+Q165,C165*R128^5+D165*R128^4+E165*R128^3+F165*R128^2+G165*R128^1+H165)</f>
        <v>0.0</v>
      </c>
      <c r="D143" s="571"/>
      <c r="E143" s="571"/>
      <c r="F143" s="571"/>
      <c r="G143" s="740" t="s">
        <v>2</v>
      </c>
      <c r="H143" s="678" t="e">
        <f>I134</f>
        <v>#DIV/0!</v>
      </c>
      <c r="I143" s="679" t="e">
        <f>I135</f>
        <v>#DIV/0!</v>
      </c>
      <c r="J143" s="571"/>
      <c r="K143" s="680"/>
      <c r="L143" s="681" t="e">
        <f>MOD(H144,100/360)</f>
        <v>#DIV/0!</v>
      </c>
      <c r="M143" s="681" t="e">
        <f>MOD(I144,100/360)</f>
        <v>#DIV/0!</v>
      </c>
      <c r="N143" s="682">
        <v>90.0</v>
      </c>
      <c r="O143" s="683">
        <v>1.619</v>
      </c>
      <c r="P143" s="571"/>
      <c r="Q143" s="571"/>
      <c r="R143" s="571"/>
      <c r="S143" s="571"/>
      <c r="T143" s="571"/>
      <c r="U143" s="571"/>
      <c r="V143" s="571"/>
      <c r="W143" s="571"/>
      <c r="X143" s="571"/>
      <c r="Y143" s="571"/>
      <c r="Z143" s="690"/>
      <c r="AA143" s="571"/>
      <c r="AB143" s="571"/>
      <c r="AC143" s="571"/>
      <c r="AD143" s="571"/>
      <c r="AE143" s="571"/>
    </row>
    <row r="144" spans="8:8" ht="13.5" customHeight="1">
      <c r="A144" s="732"/>
      <c r="B144" s="675" t="s">
        <v>455</v>
      </c>
      <c r="C144" s="733">
        <f>(IF(R128&gt;0.12,L166*R128^5+M166*R128^4+N166*R128^3+O166*R128^2+P166*R128^1+Q166,C166*R128^5+D166*R128^4+E166*R128^3+F166*R128^2+G166*R128^1+H166)+C159)/54</f>
        <v>-9.413580185185185E-11</v>
      </c>
      <c r="D144" s="571"/>
      <c r="E144" s="571"/>
      <c r="F144" s="571"/>
      <c r="G144" s="673" t="s">
        <v>3</v>
      </c>
      <c r="H144" s="684" t="e">
        <f>I137</f>
        <v>#DIV/0!</v>
      </c>
      <c r="I144" s="685" t="e">
        <f>I138</f>
        <v>#DIV/0!</v>
      </c>
      <c r="J144" s="571"/>
      <c r="K144" s="680"/>
      <c r="L144" s="686" t="e">
        <f>100-L143*360</f>
        <v>#DIV/0!</v>
      </c>
      <c r="M144" s="686" t="e">
        <f>100-M143*360</f>
        <v>#DIV/0!</v>
      </c>
      <c r="N144" s="682">
        <v>80.0</v>
      </c>
      <c r="O144" s="683">
        <v>2.095</v>
      </c>
      <c r="P144" s="571"/>
      <c r="Q144" s="571"/>
      <c r="R144" s="571"/>
      <c r="S144" s="571"/>
      <c r="T144" s="571"/>
      <c r="U144" s="571"/>
      <c r="V144" s="571"/>
      <c r="W144" s="571"/>
      <c r="X144" s="571"/>
      <c r="Y144" s="571"/>
      <c r="Z144" s="690"/>
      <c r="AA144" s="571"/>
      <c r="AB144" s="571"/>
      <c r="AC144" s="571"/>
      <c r="AD144" s="571"/>
      <c r="AE144" s="571"/>
    </row>
    <row r="145" spans="8:8" ht="13.5" customHeight="1">
      <c r="A145" s="732"/>
      <c r="B145" s="675" t="s">
        <v>458</v>
      </c>
      <c r="C145" s="727">
        <f>IF(R128&gt;0.12,L167*R128^5+M167*R128^4+N167*R128^3+O167*R128^2+P167*R128^1+Q167,C167*R128^5+D167*R128^4+E167*R128^3+F167*R128^2+G167*R128^1+H167)</f>
        <v>0.0</v>
      </c>
      <c r="D145" s="571"/>
      <c r="E145" s="571"/>
      <c r="F145" s="571"/>
      <c r="G145" s="741" t="s">
        <v>24</v>
      </c>
      <c r="H145" s="687" t="e">
        <f>IF(H144&lt;69.7,"#VALUE!",IF(H144&gt;100.1,"#VALUE!",(360-ROUNDDOWN((1-(H144/100))*360,0))*286/360))</f>
        <v>#DIV/0!</v>
      </c>
      <c r="I145" s="688" t="e">
        <f>IF(I144&lt;69.7,"#VALUE!",IF(I144&gt;100.1,"#VALUE!",(360-ROUNDDOWN((1-(I144/100))*360,0))*286/360))</f>
        <v>#DIV/0!</v>
      </c>
      <c r="J145" s="571"/>
      <c r="K145" s="680"/>
      <c r="L145" s="690" t="e">
        <f>IF(H144&gt;N144,O142*(H144-N143)*(H144-N144)/((N142-N143)*(N142-N144))+O143*(H144-N142)*(H144-N144)/((N143-N142)*(N143-N144))+O144*(H144-N142)*(H144-N143)/((N144-N142)*(N144-N143)),O144*(H144-N145)*(H144-N146)/((N144-N145)*(N144-N146))+O145*(H144-N144)*(H144-N146)/((N145-N144)*(N145-N146))+O146*(H144-N144)*(H144-N145)/((N146-N144)*(N146-N145)))</f>
        <v>#DIV/0!</v>
      </c>
      <c r="M145" s="691" t="e">
        <f>IF(I144&gt;N144,O142*(I144-N143)*(I144-N144)/((N142-N143)*(N142-N144))+O143*(I144-N142)*(I144-N144)/((N143-N142)*(N143-N144))+O144*(I144-N142)*(I144-N143)/((N144-N142)*(N144-N143)),O144*(I144-N145)*(I144-N146)/((N144-N145)*(N144-N146))+O145*(I144-N144)*(I144-N146)/((N145-N144)*(N145-N146))+O146*(I144-N144)*(I144-N145)/((N146-N144)*(N146-N145)))</f>
        <v>#DIV/0!</v>
      </c>
      <c r="N145" s="682">
        <v>70.0</v>
      </c>
      <c r="O145" s="683">
        <v>2.489</v>
      </c>
      <c r="P145" s="571"/>
      <c r="Q145" s="571"/>
      <c r="R145" s="571"/>
      <c r="S145" s="571"/>
      <c r="T145" s="571"/>
      <c r="U145" s="571"/>
      <c r="V145" s="571"/>
      <c r="W145" s="571"/>
      <c r="X145" s="571"/>
      <c r="Y145" s="571"/>
      <c r="Z145" s="690"/>
      <c r="AA145" s="571"/>
      <c r="AB145" s="571"/>
      <c r="AC145" s="571"/>
      <c r="AD145" s="571"/>
      <c r="AE145" s="571"/>
    </row>
    <row r="146" spans="8:8" ht="13.5" customHeight="1">
      <c r="A146" s="738"/>
      <c r="B146" s="675" t="s">
        <v>459</v>
      </c>
      <c r="C146" s="733">
        <f>IF(R128&gt;0.12,L168*R128^5+M168*R128^4+N168*R128^3+O168*R128^2+P168*R128^1+Q168,C168*R128^5+D168*R128^4+E168*R128^3+F168*R128^2+G168*R128^1+H168)</f>
        <v>0.0</v>
      </c>
      <c r="D146" s="710"/>
      <c r="E146" s="571"/>
      <c r="F146" s="571"/>
      <c r="G146" s="742" t="s">
        <v>19</v>
      </c>
      <c r="H146" s="692" t="e">
        <f>L146</f>
        <v>#DIV/0!</v>
      </c>
      <c r="I146" s="692" t="e">
        <f>M146</f>
        <v>#DIV/0!</v>
      </c>
      <c r="J146" s="571"/>
      <c r="K146" s="674" t="s">
        <v>464</v>
      </c>
      <c r="L146" s="446" t="e">
        <f>30-(L145*L144/100)</f>
        <v>#DIV/0!</v>
      </c>
      <c r="M146" s="446" t="e">
        <f>30-(M145*M144/100)</f>
        <v>#DIV/0!</v>
      </c>
      <c r="N146" s="693">
        <v>60.0</v>
      </c>
      <c r="O146" s="694">
        <v>3.083</v>
      </c>
      <c r="P146" s="571"/>
      <c r="Q146" s="571"/>
      <c r="R146" s="571"/>
      <c r="S146" s="571"/>
      <c r="T146" s="571"/>
      <c r="U146" s="571"/>
      <c r="V146" s="571"/>
      <c r="W146" s="571"/>
      <c r="X146" s="571"/>
      <c r="Y146" s="571"/>
      <c r="Z146" s="571"/>
      <c r="AA146" s="571"/>
      <c r="AB146" s="571"/>
      <c r="AC146" s="571"/>
      <c r="AD146" s="571"/>
      <c r="AE146" s="571"/>
    </row>
    <row r="147" spans="8:8" ht="13.5" customHeight="1">
      <c r="A147" s="726">
        <v>0.7</v>
      </c>
      <c r="B147" s="675" t="s">
        <v>150</v>
      </c>
      <c r="C147" s="727">
        <f>IF(R128&gt;0.12,L169*R128^5+M169*R128^4+N169*R128^3+O169*R128^2+P169*R128^1+Q169,C169*R128^5+D169*R128^4+E169*R128^3+F169*R128^2+G169*R128^1+H169)</f>
        <v>0.0</v>
      </c>
      <c r="D147" s="710"/>
      <c r="E147" s="571"/>
      <c r="F147" s="571"/>
      <c r="G147" s="571"/>
      <c r="H147" s="571"/>
      <c r="I147" s="571"/>
      <c r="J147" s="571"/>
      <c r="K147" s="571"/>
      <c r="L147" s="571"/>
      <c r="M147" s="571"/>
      <c r="N147" s="710"/>
      <c r="O147" s="571"/>
      <c r="P147" s="571"/>
      <c r="Q147" s="571"/>
      <c r="R147" s="571"/>
      <c r="S147" s="571"/>
      <c r="T147" s="571"/>
      <c r="U147" s="571"/>
      <c r="V147" s="571"/>
      <c r="W147" s="571"/>
      <c r="X147" s="571"/>
      <c r="Y147" s="571"/>
      <c r="Z147" s="571"/>
      <c r="AA147" s="571"/>
      <c r="AB147" s="571"/>
      <c r="AC147" s="571"/>
      <c r="AD147" s="571"/>
      <c r="AE147" s="571"/>
    </row>
    <row r="148" spans="8:8" ht="13.5" customHeight="1">
      <c r="A148" s="732"/>
      <c r="B148" s="675" t="s">
        <v>455</v>
      </c>
      <c r="C148" s="733">
        <f>(IF(R128&gt;0.12,L170*R128^5+M170*R128^4+N170*R128^3+O170*R128^2+P170*R128^1+Q170,C170*R128^5+D170*R128^4+E170*R128^3+F170*R128^2+G170*R128^1+H170)+C159)/54</f>
        <v>-9.413580185185185E-11</v>
      </c>
      <c r="D148" s="710"/>
      <c r="E148" s="571"/>
      <c r="F148" s="571"/>
      <c r="G148" s="571"/>
      <c r="H148" s="571"/>
      <c r="I148" s="710"/>
      <c r="J148" s="571"/>
      <c r="K148" s="571"/>
      <c r="L148" s="571"/>
      <c r="M148" s="743"/>
      <c r="N148" s="571"/>
      <c r="O148" s="571"/>
      <c r="P148" s="571"/>
      <c r="Q148" s="571"/>
      <c r="R148" s="571"/>
      <c r="S148" s="571"/>
      <c r="T148" s="571"/>
      <c r="U148" s="571"/>
      <c r="V148" s="571"/>
      <c r="W148" s="571"/>
      <c r="X148" s="571"/>
      <c r="Y148" s="571"/>
      <c r="Z148" s="571"/>
      <c r="AA148" s="571"/>
      <c r="AB148" s="571"/>
      <c r="AC148" s="571"/>
      <c r="AD148" s="571"/>
      <c r="AE148" s="571"/>
    </row>
    <row r="149" spans="8:8" ht="13.5" customHeight="1">
      <c r="A149" s="732"/>
      <c r="B149" s="675" t="s">
        <v>458</v>
      </c>
      <c r="C149" s="727">
        <f>IF(R128&gt;0.12,L171*R128^5+M171*R128^4+N171*R128^3+O171*R128^2+P171*R128^1+Q171,C171*R128^5+D171*R128^4+E171*R128^3+F171*R128^2+G171*R128^1+H171)</f>
        <v>0.0</v>
      </c>
      <c r="D149" s="710"/>
      <c r="E149" s="571"/>
      <c r="F149" s="571"/>
      <c r="G149" s="571"/>
      <c r="H149" s="571"/>
      <c r="I149" s="571"/>
      <c r="J149" s="571"/>
      <c r="K149" s="571"/>
      <c r="L149" s="571"/>
      <c r="M149" s="571"/>
      <c r="N149" s="571"/>
      <c r="O149" s="571"/>
      <c r="P149" s="571"/>
      <c r="Q149" s="571"/>
      <c r="R149" s="571"/>
      <c r="S149" s="571"/>
      <c r="T149" s="571"/>
      <c r="U149" s="571"/>
      <c r="V149" s="571"/>
      <c r="W149" s="571"/>
      <c r="X149" s="571"/>
      <c r="Y149" s="571"/>
      <c r="Z149" s="571"/>
      <c r="AA149" s="571"/>
      <c r="AB149" s="571"/>
      <c r="AC149" s="571"/>
      <c r="AD149" s="571"/>
      <c r="AE149" s="571"/>
    </row>
    <row r="150" spans="8:8" ht="13.5" customHeight="1">
      <c r="A150" s="738"/>
      <c r="B150" s="675" t="s">
        <v>459</v>
      </c>
      <c r="C150" s="733">
        <f>IF(R128&gt;0.12,L172*R128^5+M172*R128^4+N172*R128^3+O172*R128^2+P172*R128^1+Q172,C172*R128^5+D172*R128^4+E172*R128^3+F172*R128^2+G172*R128^1+H172)</f>
        <v>0.0</v>
      </c>
      <c r="D150" s="710"/>
      <c r="E150" s="710"/>
      <c r="F150" s="710"/>
      <c r="G150" s="710"/>
      <c r="H150" s="710"/>
      <c r="I150" s="710"/>
      <c r="J150" s="571"/>
      <c r="K150" s="571"/>
      <c r="L150" s="571"/>
      <c r="M150" s="571"/>
      <c r="N150" s="571"/>
      <c r="O150" s="571"/>
      <c r="P150" s="571"/>
      <c r="Q150" s="571"/>
      <c r="R150" s="571"/>
      <c r="S150" s="571"/>
      <c r="T150" s="571"/>
      <c r="U150" s="571"/>
      <c r="V150" s="571"/>
      <c r="W150" s="571"/>
      <c r="X150" s="571"/>
      <c r="Y150" s="571"/>
      <c r="Z150" s="571"/>
      <c r="AA150" s="571"/>
      <c r="AB150" s="571"/>
      <c r="AC150" s="571"/>
      <c r="AD150" s="571"/>
      <c r="AE150" s="571"/>
    </row>
    <row r="151" spans="8:8" ht="13.5" customHeight="1">
      <c r="A151" s="744"/>
      <c r="B151" s="744"/>
      <c r="C151" s="744"/>
      <c r="D151" s="744"/>
      <c r="E151" s="744"/>
      <c r="F151" s="744"/>
      <c r="G151" s="744"/>
      <c r="H151" s="744"/>
      <c r="I151" s="744"/>
      <c r="J151" s="744"/>
      <c r="K151" s="744"/>
      <c r="L151" s="744"/>
      <c r="M151" s="744"/>
      <c r="N151" s="744"/>
      <c r="O151" s="744"/>
      <c r="P151" s="744"/>
      <c r="Q151" s="744"/>
      <c r="R151" s="744"/>
      <c r="S151" s="744"/>
      <c r="T151" s="744"/>
      <c r="U151" s="744"/>
      <c r="V151" s="744"/>
      <c r="W151" s="744"/>
      <c r="X151" s="744"/>
      <c r="Y151" s="744"/>
      <c r="Z151" s="744"/>
      <c r="AA151" s="744"/>
      <c r="AB151" s="744"/>
      <c r="AC151" s="744"/>
      <c r="AD151" s="744"/>
      <c r="AE151" s="744"/>
    </row>
    <row r="152" spans="8:8" ht="13.5" customHeight="1">
      <c r="A152" s="571"/>
      <c r="B152" s="745" t="s">
        <v>13</v>
      </c>
      <c r="C152" s="675" t="s">
        <v>465</v>
      </c>
      <c r="D152" s="675" t="s">
        <v>466</v>
      </c>
      <c r="E152" s="675" t="s">
        <v>467</v>
      </c>
      <c r="F152" s="675" t="s">
        <v>468</v>
      </c>
      <c r="G152" s="675" t="s">
        <v>469</v>
      </c>
      <c r="H152" s="675" t="s">
        <v>470</v>
      </c>
      <c r="I152" s="571"/>
      <c r="J152" s="571"/>
      <c r="K152" s="745" t="s">
        <v>7</v>
      </c>
      <c r="L152" s="675" t="s">
        <v>465</v>
      </c>
      <c r="M152" s="675" t="s">
        <v>466</v>
      </c>
      <c r="N152" s="675" t="s">
        <v>467</v>
      </c>
      <c r="O152" s="675" t="s">
        <v>468</v>
      </c>
      <c r="P152" s="675" t="s">
        <v>469</v>
      </c>
      <c r="Q152" s="675" t="s">
        <v>470</v>
      </c>
      <c r="R152" s="571"/>
      <c r="S152" s="571"/>
      <c r="T152" s="571"/>
      <c r="U152" s="571"/>
      <c r="V152" s="571"/>
      <c r="W152" s="571"/>
      <c r="X152" s="571"/>
      <c r="Y152" s="571"/>
      <c r="Z152" s="571"/>
      <c r="AA152" s="571"/>
      <c r="AB152" s="571"/>
      <c r="AC152" s="571"/>
      <c r="AD152" s="571"/>
      <c r="AE152" s="571"/>
    </row>
    <row r="153" spans="8:8" ht="13.5" customHeight="1">
      <c r="A153" s="726">
        <v>1.0</v>
      </c>
      <c r="B153" s="746" t="s">
        <v>150</v>
      </c>
      <c r="C153" s="522"/>
      <c r="D153" s="747">
        <v>-3.375E-7</v>
      </c>
      <c r="E153" s="747">
        <v>-5.9657407E-5</v>
      </c>
      <c r="F153" s="747">
        <v>-0.0060093056</v>
      </c>
      <c r="G153" s="747">
        <v>-0.61399815</v>
      </c>
      <c r="H153" s="522">
        <v>269.29928</v>
      </c>
      <c r="I153" s="571"/>
      <c r="J153" s="726">
        <v>1.0</v>
      </c>
      <c r="K153" s="746" t="s">
        <v>150</v>
      </c>
      <c r="L153" s="522"/>
      <c r="M153" s="747"/>
      <c r="N153" s="747"/>
      <c r="O153" s="747"/>
      <c r="P153" s="747"/>
      <c r="Q153" s="522"/>
      <c r="R153" s="571"/>
      <c r="S153" s="571"/>
      <c r="T153" s="571"/>
      <c r="U153" s="571"/>
      <c r="V153" s="571"/>
      <c r="W153" s="571"/>
      <c r="X153" s="571"/>
      <c r="Y153" s="571"/>
      <c r="Z153" s="571"/>
      <c r="AA153" s="571"/>
      <c r="AB153" s="571"/>
      <c r="AC153" s="571"/>
      <c r="AD153" s="571"/>
      <c r="AE153" s="571"/>
    </row>
    <row r="154" spans="8:8" ht="13.5" customHeight="1">
      <c r="A154" s="732"/>
      <c r="B154" s="748" t="s">
        <v>455</v>
      </c>
      <c r="C154" s="749">
        <v>6.3083333E-7</v>
      </c>
      <c r="D154" s="749">
        <v>7.5958333E-5</v>
      </c>
      <c r="E154" s="749">
        <v>0.0030720833</v>
      </c>
      <c r="F154" s="749">
        <v>0.038054166</v>
      </c>
      <c r="G154" s="749">
        <v>-2.4080167</v>
      </c>
      <c r="H154" s="750">
        <v>310.59</v>
      </c>
      <c r="I154" s="571"/>
      <c r="J154" s="732"/>
      <c r="K154" s="748" t="s">
        <v>455</v>
      </c>
      <c r="L154" s="750"/>
      <c r="M154" s="749"/>
      <c r="N154" s="749"/>
      <c r="O154" s="749"/>
      <c r="P154" s="749"/>
      <c r="Q154" s="750"/>
      <c r="R154" s="571"/>
      <c r="S154" s="571"/>
      <c r="T154" s="571"/>
      <c r="U154" s="571"/>
      <c r="V154" s="571"/>
      <c r="W154" s="571"/>
      <c r="X154" s="571"/>
      <c r="Y154" s="571"/>
      <c r="Z154" s="571"/>
      <c r="AA154" s="571"/>
      <c r="AB154" s="571"/>
      <c r="AC154" s="571"/>
      <c r="AD154" s="571"/>
      <c r="AE154" s="571"/>
    </row>
    <row r="155" spans="8:8" ht="13.5" customHeight="1">
      <c r="A155" s="732"/>
      <c r="B155" s="751" t="s">
        <v>458</v>
      </c>
      <c r="C155" s="747">
        <v>-4.1666667E-9</v>
      </c>
      <c r="D155" s="747">
        <v>-8.2083334E-7</v>
      </c>
      <c r="E155" s="747">
        <v>-8.0666666E-5</v>
      </c>
      <c r="F155" s="747">
        <v>-0.0067629165</v>
      </c>
      <c r="G155" s="747">
        <v>-0.72664166</v>
      </c>
      <c r="H155" s="522">
        <v>281.764</v>
      </c>
      <c r="I155" s="571"/>
      <c r="J155" s="732"/>
      <c r="K155" s="751" t="s">
        <v>458</v>
      </c>
      <c r="L155" s="522"/>
      <c r="M155" s="747"/>
      <c r="N155" s="747"/>
      <c r="O155" s="747"/>
      <c r="P155" s="747"/>
      <c r="Q155" s="522"/>
      <c r="R155" s="571"/>
      <c r="S155" s="571"/>
      <c r="T155" s="571"/>
      <c r="U155" s="571"/>
      <c r="V155" s="571"/>
      <c r="W155" s="571"/>
      <c r="X155" s="571"/>
      <c r="Y155" s="571"/>
      <c r="Z155" s="571"/>
      <c r="AA155" s="571"/>
      <c r="AB155" s="571"/>
      <c r="AC155" s="571"/>
      <c r="AD155" s="571"/>
      <c r="AE155" s="571"/>
    </row>
    <row r="156" spans="8:8" ht="13.5" customHeight="1">
      <c r="A156" s="738"/>
      <c r="B156" s="752" t="s">
        <v>459</v>
      </c>
      <c r="C156" s="749">
        <v>-1.1583333E-8</v>
      </c>
      <c r="D156" s="749">
        <v>-1.6916667E-6</v>
      </c>
      <c r="E156" s="749">
        <v>-1.1004167E-4</v>
      </c>
      <c r="F156" s="749">
        <v>-0.0062058335</v>
      </c>
      <c r="G156" s="749">
        <v>-0.49783001</v>
      </c>
      <c r="H156" s="750">
        <v>256.349</v>
      </c>
      <c r="I156" s="571"/>
      <c r="J156" s="738"/>
      <c r="K156" s="752" t="s">
        <v>459</v>
      </c>
      <c r="L156" s="750"/>
      <c r="M156" s="749"/>
      <c r="N156" s="749"/>
      <c r="O156" s="749"/>
      <c r="P156" s="749"/>
      <c r="Q156" s="750"/>
      <c r="R156" s="571"/>
      <c r="S156" s="571"/>
      <c r="T156" s="571"/>
      <c r="U156" s="571"/>
      <c r="V156" s="571"/>
      <c r="W156" s="571"/>
      <c r="X156" s="571"/>
      <c r="Y156" s="571"/>
      <c r="Z156" s="571"/>
      <c r="AA156" s="571"/>
      <c r="AB156" s="571"/>
      <c r="AC156" s="571"/>
      <c r="AD156" s="571"/>
      <c r="AE156" s="571"/>
    </row>
    <row r="157" spans="8:8" ht="13.5" customHeight="1">
      <c r="A157" s="726">
        <v>0.95</v>
      </c>
      <c r="B157" s="746" t="s">
        <v>150</v>
      </c>
      <c r="C157" s="522"/>
      <c r="D157" s="747">
        <v>-5.0208333E-7</v>
      </c>
      <c r="E157" s="747">
        <v>-9.0402778E-5</v>
      </c>
      <c r="F157" s="747">
        <v>-0.008669375</v>
      </c>
      <c r="G157" s="747">
        <v>-0.78103413</v>
      </c>
      <c r="H157" s="522">
        <v>251.1692</v>
      </c>
      <c r="I157" s="571"/>
      <c r="J157" s="726">
        <v>0.95</v>
      </c>
      <c r="K157" s="746" t="s">
        <v>150</v>
      </c>
      <c r="L157" s="522"/>
      <c r="M157" s="747"/>
      <c r="N157" s="747"/>
      <c r="O157" s="747"/>
      <c r="P157" s="747"/>
      <c r="Q157" s="522"/>
      <c r="R157" s="571"/>
      <c r="S157" s="571"/>
      <c r="T157" s="571"/>
      <c r="U157" s="571"/>
      <c r="V157" s="571"/>
      <c r="W157" s="571"/>
      <c r="X157" s="571"/>
      <c r="Y157" s="571"/>
      <c r="Z157" s="571"/>
      <c r="AA157" s="571"/>
      <c r="AB157" s="571"/>
      <c r="AC157" s="571"/>
      <c r="AD157" s="571"/>
      <c r="AE157" s="571"/>
    </row>
    <row r="158" spans="8:8" ht="13.5" customHeight="1">
      <c r="A158" s="732"/>
      <c r="B158" s="748" t="s">
        <v>455</v>
      </c>
      <c r="C158" s="749">
        <v>-1.5833333E-8</v>
      </c>
      <c r="D158" s="749">
        <v>-6.5416667E-6</v>
      </c>
      <c r="E158" s="749">
        <v>-6.6791667E-4</v>
      </c>
      <c r="F158" s="749">
        <v>-0.034695833</v>
      </c>
      <c r="G158" s="749">
        <v>-3.03355</v>
      </c>
      <c r="H158" s="750">
        <v>250.8</v>
      </c>
      <c r="I158" s="571"/>
      <c r="J158" s="732"/>
      <c r="K158" s="748" t="s">
        <v>455</v>
      </c>
      <c r="L158" s="750"/>
      <c r="M158" s="749"/>
      <c r="N158" s="749"/>
      <c r="O158" s="749"/>
      <c r="P158" s="749"/>
      <c r="Q158" s="750"/>
      <c r="R158" s="571"/>
      <c r="S158" s="571"/>
      <c r="T158" s="571"/>
      <c r="U158" s="571"/>
      <c r="V158" s="571"/>
      <c r="W158" s="571"/>
      <c r="X158" s="571"/>
      <c r="Y158" s="571"/>
      <c r="Z158" s="571"/>
      <c r="AA158" s="571"/>
      <c r="AB158" s="571"/>
      <c r="AC158" s="571"/>
      <c r="AD158" s="571"/>
      <c r="AE158" s="571"/>
    </row>
    <row r="159" spans="8:8" ht="13.5" customHeight="1">
      <c r="A159" s="732"/>
      <c r="B159" s="751" t="s">
        <v>458</v>
      </c>
      <c r="C159" s="747">
        <v>-5.0833333E-9</v>
      </c>
      <c r="D159" s="747">
        <v>-1.1416667E-6</v>
      </c>
      <c r="E159" s="747">
        <v>-1.2245833E-4</v>
      </c>
      <c r="F159" s="747">
        <v>-0.0098458334</v>
      </c>
      <c r="G159" s="747">
        <v>-0.90380333</v>
      </c>
      <c r="H159" s="522">
        <v>261.409</v>
      </c>
      <c r="I159" s="571"/>
      <c r="J159" s="732"/>
      <c r="K159" s="751" t="s">
        <v>458</v>
      </c>
      <c r="L159" s="522"/>
      <c r="M159" s="747"/>
      <c r="N159" s="747"/>
      <c r="O159" s="747"/>
      <c r="P159" s="747"/>
      <c r="Q159" s="522"/>
      <c r="R159" s="571"/>
      <c r="S159" s="571"/>
      <c r="T159" s="571"/>
      <c r="U159" s="571"/>
      <c r="V159" s="571"/>
      <c r="W159" s="571"/>
      <c r="X159" s="571"/>
      <c r="Y159" s="571"/>
      <c r="Z159" s="571"/>
      <c r="AA159" s="571"/>
      <c r="AB159" s="571"/>
      <c r="AC159" s="571"/>
      <c r="AD159" s="571"/>
      <c r="AE159" s="571"/>
    </row>
    <row r="160" spans="8:8" ht="13.5" customHeight="1">
      <c r="A160" s="738"/>
      <c r="B160" s="752" t="s">
        <v>459</v>
      </c>
      <c r="C160" s="749">
        <v>-6.9999999E-9</v>
      </c>
      <c r="D160" s="749">
        <v>-1.2416667E-6</v>
      </c>
      <c r="E160" s="749">
        <v>-1.1116667E-4</v>
      </c>
      <c r="F160" s="749">
        <v>-0.0082158334</v>
      </c>
      <c r="G160" s="749">
        <v>-0.65621334</v>
      </c>
      <c r="H160" s="750">
        <v>240.587</v>
      </c>
      <c r="I160" s="571"/>
      <c r="J160" s="738"/>
      <c r="K160" s="752" t="s">
        <v>459</v>
      </c>
      <c r="L160" s="750"/>
      <c r="M160" s="749"/>
      <c r="N160" s="749"/>
      <c r="O160" s="749"/>
      <c r="P160" s="749"/>
      <c r="Q160" s="750"/>
      <c r="R160" s="571"/>
      <c r="S160" s="571"/>
      <c r="T160" s="571"/>
      <c r="U160" s="571"/>
      <c r="V160" s="571"/>
      <c r="W160" s="571"/>
      <c r="X160" s="571"/>
      <c r="Y160" s="571"/>
      <c r="Z160" s="571"/>
      <c r="AA160" s="571"/>
      <c r="AB160" s="571"/>
      <c r="AC160" s="571"/>
      <c r="AD160" s="571"/>
      <c r="AE160" s="571"/>
    </row>
    <row r="161" spans="8:8" ht="13.5" customHeight="1">
      <c r="A161" s="726">
        <v>0.9</v>
      </c>
      <c r="B161" s="746" t="s">
        <v>150</v>
      </c>
      <c r="C161" s="522"/>
      <c r="D161" s="747">
        <v>-8.25E-7</v>
      </c>
      <c r="E161" s="747">
        <v>-1.4266667E-4</v>
      </c>
      <c r="F161" s="747">
        <v>-0.01246</v>
      </c>
      <c r="G161" s="747">
        <v>-0.97532976</v>
      </c>
      <c r="H161" s="522">
        <v>232.94921</v>
      </c>
      <c r="I161" s="571"/>
      <c r="J161" s="726">
        <v>0.9</v>
      </c>
      <c r="K161" s="746" t="s">
        <v>150</v>
      </c>
      <c r="L161" s="522"/>
      <c r="M161" s="747"/>
      <c r="N161" s="747"/>
      <c r="O161" s="747"/>
      <c r="P161" s="747"/>
      <c r="Q161" s="522"/>
      <c r="R161" s="571"/>
      <c r="S161" s="571"/>
      <c r="T161" s="571"/>
      <c r="U161" s="571"/>
      <c r="V161" s="571"/>
      <c r="W161" s="571"/>
      <c r="X161" s="571"/>
      <c r="Y161" s="571"/>
      <c r="Z161" s="571"/>
      <c r="AA161" s="571"/>
      <c r="AB161" s="571"/>
      <c r="AC161" s="571"/>
      <c r="AD161" s="571"/>
      <c r="AE161" s="571"/>
    </row>
    <row r="162" spans="8:8" ht="13.5" customHeight="1">
      <c r="A162" s="732"/>
      <c r="B162" s="748" t="s">
        <v>455</v>
      </c>
      <c r="C162" s="749">
        <v>-1.9583333E-7</v>
      </c>
      <c r="D162" s="749">
        <v>-2.6208333E-5</v>
      </c>
      <c r="E162" s="749">
        <v>-0.0012845833</v>
      </c>
      <c r="F162" s="749">
        <v>-0.037929167</v>
      </c>
      <c r="G162" s="749">
        <v>-3.0260833</v>
      </c>
      <c r="H162" s="750">
        <v>202.3</v>
      </c>
      <c r="I162" s="571"/>
      <c r="J162" s="732"/>
      <c r="K162" s="748" t="s">
        <v>455</v>
      </c>
      <c r="L162" s="750"/>
      <c r="M162" s="749"/>
      <c r="N162" s="749"/>
      <c r="O162" s="749"/>
      <c r="P162" s="749"/>
      <c r="Q162" s="750"/>
      <c r="R162" s="571"/>
      <c r="S162" s="571"/>
      <c r="T162" s="571"/>
      <c r="U162" s="571"/>
      <c r="V162" s="571"/>
      <c r="W162" s="571"/>
      <c r="X162" s="571"/>
      <c r="Y162" s="571"/>
      <c r="Z162" s="571"/>
      <c r="AA162" s="571"/>
      <c r="AB162" s="571"/>
      <c r="AC162" s="571"/>
      <c r="AD162" s="571"/>
      <c r="AE162" s="571"/>
    </row>
    <row r="163" spans="8:8" ht="13.5" customHeight="1">
      <c r="A163" s="732"/>
      <c r="B163" s="751" t="s">
        <v>458</v>
      </c>
      <c r="C163" s="747">
        <v>-9.9166667E-9</v>
      </c>
      <c r="D163" s="747">
        <v>-2.1791667E-6</v>
      </c>
      <c r="E163" s="747">
        <v>-2.1345833E-4</v>
      </c>
      <c r="F163" s="747">
        <v>-0.014587083</v>
      </c>
      <c r="G163" s="747">
        <v>-1.109505</v>
      </c>
      <c r="H163" s="522">
        <v>241.367</v>
      </c>
      <c r="I163" s="571"/>
      <c r="J163" s="732"/>
      <c r="K163" s="751" t="s">
        <v>458</v>
      </c>
      <c r="L163" s="522"/>
      <c r="M163" s="747"/>
      <c r="N163" s="747"/>
      <c r="O163" s="747"/>
      <c r="P163" s="747"/>
      <c r="Q163" s="522"/>
      <c r="R163" s="571"/>
      <c r="S163" s="571"/>
      <c r="T163" s="571"/>
      <c r="U163" s="571"/>
      <c r="V163" s="571"/>
      <c r="W163" s="571"/>
      <c r="X163" s="571"/>
      <c r="Y163" s="571"/>
      <c r="Z163" s="571"/>
      <c r="AA163" s="571"/>
      <c r="AB163" s="571"/>
      <c r="AC163" s="571"/>
      <c r="AD163" s="571"/>
      <c r="AE163" s="571"/>
    </row>
    <row r="164" spans="8:8" ht="13.5" customHeight="1">
      <c r="A164" s="738"/>
      <c r="B164" s="752" t="s">
        <v>459</v>
      </c>
      <c r="C164" s="749">
        <v>-1.7083333E-8</v>
      </c>
      <c r="D164" s="749">
        <v>-2.8958333E-6</v>
      </c>
      <c r="E164" s="749">
        <v>-2.25375E-4</v>
      </c>
      <c r="F164" s="749">
        <v>-0.013150417</v>
      </c>
      <c r="G164" s="749">
        <v>-0.85519166</v>
      </c>
      <c r="H164" s="750">
        <v>224.273</v>
      </c>
      <c r="I164" s="571"/>
      <c r="J164" s="738"/>
      <c r="K164" s="752" t="s">
        <v>459</v>
      </c>
      <c r="L164" s="750"/>
      <c r="M164" s="749"/>
      <c r="N164" s="749"/>
      <c r="O164" s="749"/>
      <c r="P164" s="749"/>
      <c r="Q164" s="750"/>
      <c r="R164" s="571"/>
      <c r="S164" s="571"/>
      <c r="T164" s="571"/>
      <c r="U164" s="571"/>
      <c r="V164" s="571"/>
      <c r="W164" s="571"/>
      <c r="X164" s="571"/>
      <c r="Y164" s="571"/>
      <c r="Z164" s="571"/>
      <c r="AA164" s="571"/>
      <c r="AB164" s="571"/>
      <c r="AC164" s="571"/>
      <c r="AD164" s="571"/>
      <c r="AE164" s="571"/>
    </row>
    <row r="165" spans="8:8" ht="13.5" customHeight="1">
      <c r="A165" s="726">
        <v>0.8</v>
      </c>
      <c r="B165" s="746" t="s">
        <v>150</v>
      </c>
      <c r="C165" s="522"/>
      <c r="D165" s="747">
        <v>-1.98125E-6</v>
      </c>
      <c r="E165" s="747">
        <v>-3.1706019E-4</v>
      </c>
      <c r="F165" s="747">
        <v>-0.023492014</v>
      </c>
      <c r="G165" s="747">
        <v>-1.4268501</v>
      </c>
      <c r="H165" s="522">
        <v>197.64241</v>
      </c>
      <c r="I165" s="571"/>
      <c r="J165" s="726">
        <v>0.8</v>
      </c>
      <c r="K165" s="746" t="s">
        <v>150</v>
      </c>
      <c r="L165" s="522"/>
      <c r="M165" s="747"/>
      <c r="N165" s="747"/>
      <c r="O165" s="747"/>
      <c r="P165" s="747"/>
      <c r="Q165" s="522"/>
      <c r="R165" s="571"/>
      <c r="S165" s="571"/>
      <c r="T165" s="571"/>
      <c r="U165" s="571"/>
      <c r="V165" s="571"/>
      <c r="W165" s="571"/>
      <c r="X165" s="571"/>
      <c r="Y165" s="571"/>
      <c r="Z165" s="571"/>
      <c r="AA165" s="571"/>
      <c r="AB165" s="571"/>
      <c r="AC165" s="571"/>
      <c r="AD165" s="571"/>
      <c r="AE165" s="571"/>
    </row>
    <row r="166" spans="8:8" ht="13.5" customHeight="1">
      <c r="A166" s="732"/>
      <c r="B166" s="748" t="s">
        <v>455</v>
      </c>
      <c r="C166" s="749">
        <v>-4.2916667E-7</v>
      </c>
      <c r="D166" s="749">
        <v>-5.3333333E-5</v>
      </c>
      <c r="E166" s="749">
        <v>-0.00240875</v>
      </c>
      <c r="F166" s="749">
        <v>-0.059966667</v>
      </c>
      <c r="G166" s="749">
        <v>-3.2548333</v>
      </c>
      <c r="H166" s="750">
        <v>131.02</v>
      </c>
      <c r="I166" s="571"/>
      <c r="J166" s="732"/>
      <c r="K166" s="748" t="s">
        <v>455</v>
      </c>
      <c r="L166" s="750"/>
      <c r="M166" s="749"/>
      <c r="N166" s="749"/>
      <c r="O166" s="749"/>
      <c r="P166" s="749"/>
      <c r="Q166" s="750"/>
      <c r="R166" s="571"/>
      <c r="S166" s="571"/>
      <c r="T166" s="571"/>
      <c r="U166" s="571"/>
      <c r="V166" s="571"/>
      <c r="W166" s="571"/>
      <c r="X166" s="571"/>
      <c r="Y166" s="571"/>
      <c r="Z166" s="571"/>
      <c r="AA166" s="571"/>
      <c r="AB166" s="571"/>
      <c r="AC166" s="571"/>
      <c r="AD166" s="571"/>
      <c r="AE166" s="571"/>
    </row>
    <row r="167" spans="8:8" ht="13.5" customHeight="1">
      <c r="A167" s="732"/>
      <c r="B167" s="751" t="s">
        <v>458</v>
      </c>
      <c r="C167" s="747">
        <v>-3.9666667E-8</v>
      </c>
      <c r="D167" s="747">
        <v>-7.075E-6</v>
      </c>
      <c r="E167" s="747">
        <v>-5.535E-4</v>
      </c>
      <c r="F167" s="747">
        <v>-0.0287425</v>
      </c>
      <c r="G167" s="747">
        <v>-1.5851533</v>
      </c>
      <c r="H167" s="522">
        <v>203.391</v>
      </c>
      <c r="I167" s="571"/>
      <c r="J167" s="732"/>
      <c r="K167" s="751" t="s">
        <v>458</v>
      </c>
      <c r="L167" s="522"/>
      <c r="M167" s="747"/>
      <c r="N167" s="747"/>
      <c r="O167" s="747"/>
      <c r="P167" s="747"/>
      <c r="Q167" s="522"/>
      <c r="R167" s="571"/>
      <c r="S167" s="571"/>
      <c r="T167" s="571"/>
      <c r="U167" s="571"/>
      <c r="V167" s="571"/>
      <c r="W167" s="571"/>
      <c r="X167" s="571"/>
      <c r="Y167" s="571"/>
      <c r="Z167" s="571"/>
      <c r="AA167" s="571"/>
      <c r="AB167" s="571"/>
      <c r="AC167" s="571"/>
      <c r="AD167" s="571"/>
      <c r="AE167" s="571"/>
    </row>
    <row r="168" spans="8:8" ht="13.5" customHeight="1">
      <c r="A168" s="738"/>
      <c r="B168" s="752" t="s">
        <v>459</v>
      </c>
      <c r="C168" s="749">
        <v>-3.325E-8</v>
      </c>
      <c r="D168" s="749">
        <v>-6.0666667E-6</v>
      </c>
      <c r="E168" s="749">
        <v>-4.84875E-4</v>
      </c>
      <c r="F168" s="749">
        <v>-0.025483333</v>
      </c>
      <c r="G168" s="749">
        <v>-1.30958</v>
      </c>
      <c r="H168" s="750">
        <v>191.762</v>
      </c>
      <c r="I168" s="571"/>
      <c r="J168" s="738"/>
      <c r="K168" s="752" t="s">
        <v>459</v>
      </c>
      <c r="L168" s="750"/>
      <c r="M168" s="749"/>
      <c r="N168" s="749"/>
      <c r="O168" s="749"/>
      <c r="P168" s="749"/>
      <c r="Q168" s="750"/>
      <c r="R168" s="571"/>
      <c r="S168" s="571"/>
      <c r="T168" s="571"/>
      <c r="U168" s="571"/>
      <c r="V168" s="571"/>
      <c r="W168" s="571"/>
      <c r="X168" s="571"/>
      <c r="Y168" s="571"/>
      <c r="Z168" s="571"/>
      <c r="AA168" s="571"/>
      <c r="AB168" s="571"/>
      <c r="AC168" s="571"/>
      <c r="AD168" s="571"/>
      <c r="AE168" s="571"/>
    </row>
    <row r="169" spans="8:8" ht="13.5" customHeight="1">
      <c r="A169" s="726">
        <v>0.7</v>
      </c>
      <c r="B169" s="746" t="s">
        <v>150</v>
      </c>
      <c r="C169" s="522"/>
      <c r="D169" s="747">
        <v>-2.2583333E-6</v>
      </c>
      <c r="E169" s="747">
        <v>-4.1048148E-4</v>
      </c>
      <c r="F169" s="747">
        <v>-0.032512778</v>
      </c>
      <c r="G169" s="747">
        <v>-1.8508618</v>
      </c>
      <c r="H169" s="522">
        <v>165.36463</v>
      </c>
      <c r="I169" s="571"/>
      <c r="J169" s="726">
        <v>0.7</v>
      </c>
      <c r="K169" s="746" t="s">
        <v>150</v>
      </c>
      <c r="L169" s="522"/>
      <c r="M169" s="747"/>
      <c r="N169" s="747"/>
      <c r="O169" s="747"/>
      <c r="P169" s="747"/>
      <c r="Q169" s="522"/>
      <c r="R169" s="571"/>
      <c r="S169" s="571"/>
      <c r="T169" s="571"/>
      <c r="U169" s="571"/>
      <c r="V169" s="571"/>
      <c r="W169" s="571"/>
      <c r="X169" s="571"/>
      <c r="Y169" s="571"/>
      <c r="Z169" s="571"/>
      <c r="AA169" s="571"/>
      <c r="AB169" s="571"/>
      <c r="AC169" s="571"/>
      <c r="AD169" s="571"/>
      <c r="AE169" s="571"/>
    </row>
    <row r="170" spans="8:8" ht="13.5" customHeight="1">
      <c r="A170" s="732"/>
      <c r="B170" s="748" t="s">
        <v>455</v>
      </c>
      <c r="C170" s="749">
        <v>-6.8833333E-7</v>
      </c>
      <c r="D170" s="749">
        <v>-8.5958333E-5</v>
      </c>
      <c r="E170" s="749">
        <v>-0.0039283333</v>
      </c>
      <c r="F170" s="749">
        <v>-0.091954167</v>
      </c>
      <c r="G170" s="749">
        <v>-3.4567833</v>
      </c>
      <c r="H170" s="750">
        <v>85.47</v>
      </c>
      <c r="I170" s="571"/>
      <c r="J170" s="732"/>
      <c r="K170" s="748" t="s">
        <v>455</v>
      </c>
      <c r="L170" s="750"/>
      <c r="M170" s="749"/>
      <c r="N170" s="749"/>
      <c r="O170" s="749"/>
      <c r="P170" s="749"/>
      <c r="Q170" s="750"/>
      <c r="R170" s="571"/>
      <c r="S170" s="571"/>
      <c r="T170" s="571"/>
      <c r="U170" s="571"/>
      <c r="V170" s="571"/>
      <c r="W170" s="571"/>
      <c r="X170" s="571"/>
      <c r="Y170" s="571"/>
      <c r="Z170" s="571"/>
      <c r="AA170" s="571"/>
      <c r="AB170" s="571"/>
      <c r="AC170" s="571"/>
      <c r="AD170" s="571"/>
      <c r="AE170" s="571"/>
    </row>
    <row r="171" spans="8:8" ht="13.5" customHeight="1">
      <c r="A171" s="732"/>
      <c r="B171" s="751" t="s">
        <v>458</v>
      </c>
      <c r="C171" s="747">
        <v>-9.325E-8</v>
      </c>
      <c r="D171" s="747">
        <v>-1.3520833E-5</v>
      </c>
      <c r="E171" s="747">
        <v>-8.90125E-4</v>
      </c>
      <c r="F171" s="747">
        <v>-0.041622917</v>
      </c>
      <c r="G171" s="747">
        <v>-2.028005</v>
      </c>
      <c r="H171" s="522">
        <v>169.371</v>
      </c>
      <c r="I171" s="571"/>
      <c r="J171" s="732"/>
      <c r="K171" s="751" t="s">
        <v>458</v>
      </c>
      <c r="L171" s="522"/>
      <c r="M171" s="747"/>
      <c r="N171" s="747"/>
      <c r="O171" s="747"/>
      <c r="P171" s="747"/>
      <c r="Q171" s="522"/>
      <c r="R171" s="571"/>
      <c r="S171" s="571"/>
      <c r="T171" s="571"/>
      <c r="U171" s="571"/>
      <c r="V171" s="571"/>
      <c r="W171" s="571"/>
      <c r="X171" s="571"/>
      <c r="Y171" s="571"/>
      <c r="Z171" s="571"/>
      <c r="AA171" s="571"/>
      <c r="AB171" s="571"/>
      <c r="AC171" s="571"/>
      <c r="AD171" s="571"/>
      <c r="AE171" s="571"/>
    </row>
    <row r="172" spans="8:8" ht="13.5" customHeight="1">
      <c r="A172" s="738"/>
      <c r="B172" s="752" t="s">
        <v>459</v>
      </c>
      <c r="C172" s="749">
        <v>-1.01E-7</v>
      </c>
      <c r="D172" s="749">
        <v>-1.57375E-5</v>
      </c>
      <c r="E172" s="749">
        <v>-0.0010354167</v>
      </c>
      <c r="F172" s="749">
        <v>-0.04346125</v>
      </c>
      <c r="G172" s="749">
        <v>-1.7924983</v>
      </c>
      <c r="H172" s="750">
        <v>161.247</v>
      </c>
      <c r="I172" s="571"/>
      <c r="J172" s="738"/>
      <c r="K172" s="752" t="s">
        <v>459</v>
      </c>
      <c r="L172" s="750"/>
      <c r="M172" s="749"/>
      <c r="N172" s="749"/>
      <c r="O172" s="749"/>
      <c r="P172" s="749"/>
      <c r="Q172" s="750"/>
      <c r="R172" s="571"/>
      <c r="S172" s="571"/>
      <c r="T172" s="571"/>
      <c r="U172" s="571"/>
      <c r="V172" s="571"/>
      <c r="W172" s="571"/>
      <c r="X172" s="571"/>
      <c r="Y172" s="571"/>
      <c r="Z172" s="571"/>
      <c r="AA172" s="571"/>
      <c r="AB172" s="571"/>
      <c r="AC172" s="571"/>
      <c r="AD172" s="571"/>
      <c r="AE172" s="571"/>
    </row>
    <row r="173" spans="8:8" ht="13.5" customHeight="1">
      <c r="A173" s="697"/>
      <c r="B173" s="698"/>
      <c r="C173" s="698"/>
      <c r="D173" s="698"/>
      <c r="E173" s="698"/>
      <c r="F173" s="698"/>
      <c r="G173" s="698"/>
      <c r="H173" s="698"/>
      <c r="I173" s="698"/>
      <c r="J173" s="698"/>
      <c r="K173" s="698"/>
      <c r="L173" s="698"/>
      <c r="M173" s="698"/>
      <c r="N173" s="698"/>
      <c r="O173" s="698"/>
      <c r="P173" s="698"/>
      <c r="Q173" s="698"/>
      <c r="R173" s="698"/>
      <c r="S173" s="698"/>
      <c r="T173" s="698"/>
      <c r="U173" s="698"/>
      <c r="V173" s="698"/>
      <c r="W173" s="698"/>
      <c r="X173" s="698"/>
      <c r="Y173" s="699"/>
      <c r="Z173" s="322"/>
      <c r="AA173" s="322"/>
      <c r="AB173" s="322"/>
      <c r="AC173" s="322"/>
      <c r="AD173" s="322"/>
    </row>
    <row r="174" spans="8:8" customHeight="1">
      <c r="K174" s="324" t="s">
        <v>111</v>
      </c>
      <c r="O174" s="322"/>
      <c r="P174" s="322"/>
      <c r="Q174" s="322"/>
      <c r="U174" s="322"/>
      <c r="V174" s="322"/>
      <c r="W174" s="322"/>
      <c r="X174" s="322"/>
      <c r="Y174" s="322"/>
      <c r="Z174" s="322"/>
      <c r="AA174" s="322"/>
      <c r="AB174" s="322"/>
      <c r="AC174" s="322"/>
      <c r="AD174" s="322"/>
    </row>
    <row r="175" spans="8:8" customHeight="1">
      <c r="A175" s="639" t="s">
        <v>253</v>
      </c>
      <c r="B175" s="605" t="s">
        <v>86</v>
      </c>
      <c r="C175" s="605" t="s">
        <v>77</v>
      </c>
      <c r="F175" s="338" t="s">
        <v>77</v>
      </c>
      <c r="G175" s="322"/>
      <c r="H175" s="322"/>
      <c r="I175" s="338" t="s">
        <v>93</v>
      </c>
      <c r="J175" s="578"/>
      <c r="K175" s="291">
        <f>C176*(M181-B177)*(M181-B178)/((B176-B177)*(B176-B178))+C177*(M181-B176)*(M181-B178)/((B177-B176)*(B177-B178))+C178*(M181-B176)*(M181-B177)/((B178-B176)*(B178-B177))</f>
        <v>1.052770283077512</v>
      </c>
      <c r="L175" s="584" t="s">
        <v>77</v>
      </c>
      <c r="M175" s="585">
        <f>IF(M181&gt;B178,K175,K178)</f>
        <v>1.052770283077512</v>
      </c>
      <c r="N175" s="322"/>
      <c r="O175" s="342" t="s">
        <v>14</v>
      </c>
      <c r="S175" s="322"/>
      <c r="T175" s="668" t="s">
        <v>7</v>
      </c>
      <c r="U175" s="668">
        <v>0.01</v>
      </c>
      <c r="V175" s="668">
        <v>0.626</v>
      </c>
      <c r="W175" s="322"/>
      <c r="X175" s="322"/>
      <c r="Y175" s="322"/>
      <c r="Z175" s="322"/>
      <c r="AA175" s="322"/>
      <c r="AB175" s="322"/>
      <c r="AC175" s="322"/>
      <c r="AD175" s="322"/>
    </row>
    <row r="176" spans="8:8" customHeight="1">
      <c r="A176" s="608">
        <v>1.0</v>
      </c>
      <c r="B176" s="337">
        <v>282.7</v>
      </c>
      <c r="C176" s="337">
        <v>1.29</v>
      </c>
      <c r="F176" s="352" t="s">
        <v>87</v>
      </c>
      <c r="G176" s="353">
        <f>M175*$AA$1*Calculadora!$B$3</f>
        <v>4.5535677147007725</v>
      </c>
      <c r="H176" s="322"/>
      <c r="I176" s="352"/>
      <c r="J176" s="354"/>
      <c r="L176" s="584" t="s">
        <v>7</v>
      </c>
      <c r="M176" s="355">
        <f>L188*POWER(K188,(B176-M181))</f>
        <v>0.817321267457951</v>
      </c>
      <c r="N176" s="322"/>
      <c r="O176" s="356">
        <f>B176</f>
        <v>282.7</v>
      </c>
      <c r="P176" s="357">
        <f>B178</f>
        <v>245.1</v>
      </c>
      <c r="Q176" s="356">
        <f>B180</f>
        <v>210.0</v>
      </c>
      <c r="R176" s="358">
        <f>K184</f>
        <v>262.65645520408503</v>
      </c>
      <c r="S176" s="322"/>
      <c r="T176" s="668" t="s">
        <v>7</v>
      </c>
      <c r="U176" s="668">
        <v>5.0</v>
      </c>
      <c r="V176" s="668">
        <v>0.632</v>
      </c>
      <c r="W176" s="322"/>
      <c r="AC176" s="322"/>
      <c r="AD176" s="322"/>
    </row>
    <row r="177" spans="8:8" customHeight="1">
      <c r="A177" s="611">
        <v>0.95</v>
      </c>
      <c r="B177" s="359">
        <v>263.8</v>
      </c>
      <c r="C177" s="359">
        <v>1.0733</v>
      </c>
      <c r="F177" s="366" t="s">
        <v>88</v>
      </c>
      <c r="G177" s="367">
        <f>IF(G183&gt;0,G176*M178,G176*M179)</f>
        <v>4.54374648873068</v>
      </c>
      <c r="H177" s="322"/>
      <c r="I177" s="366" t="s">
        <v>94</v>
      </c>
      <c r="J177" s="368">
        <f>M175*Calculadora!$B$3*$AA$2</f>
        <v>2.6406727913379204</v>
      </c>
      <c r="K177" s="369" t="s">
        <v>112</v>
      </c>
      <c r="L177" s="584" t="s">
        <v>8</v>
      </c>
      <c r="M177" s="355">
        <f>L189*POWER(K189,(B176-M181))</f>
        <v>0.667335537722717</v>
      </c>
      <c r="N177" s="322"/>
      <c r="O177" s="370">
        <v>3.6</v>
      </c>
      <c r="P177" s="371">
        <v>3.6</v>
      </c>
      <c r="Q177" s="357">
        <v>3.6</v>
      </c>
      <c r="R177" s="372">
        <f>O177*(R176-P176)*(R176-Q176)/((O176-P176)*(O176-Q176))+P177*(R176-O176)*(R176-Q176)/((P176-O176)*(P176-Q176))+Q177*(R176-O176)*(R176-P176)/((Q176-O176)*(Q176-P176))</f>
        <v>3.5999999999999948</v>
      </c>
      <c r="T177" s="668" t="s">
        <v>7</v>
      </c>
      <c r="U177" s="668">
        <v>10.0</v>
      </c>
      <c r="V177" s="668">
        <v>0.637</v>
      </c>
      <c r="AC177" s="322"/>
      <c r="AD177" s="322"/>
    </row>
    <row r="178" spans="8:8" customHeight="1">
      <c r="A178" s="611">
        <v>0.9</v>
      </c>
      <c r="B178" s="365">
        <v>245.1</v>
      </c>
      <c r="C178" s="365">
        <v>0.885</v>
      </c>
      <c r="F178" s="366" t="s">
        <v>89</v>
      </c>
      <c r="G178" s="367">
        <f>G177*J181</f>
        <v>4.462281269961776</v>
      </c>
      <c r="H178" s="593">
        <f>(G178/(Calculadora!$B$3*$AA$1))*Calculadora!$B$5/4</f>
        <v>0.0</v>
      </c>
      <c r="I178" s="366"/>
      <c r="J178" s="368"/>
      <c r="K178" s="291">
        <f>C178*(M181-B179)*(M181-B180)/((B178-B179)*(B178-B180))+C179*(M181-B178)*(M181-B180)/((B179-B178)*(B179-B180))+C180*(M181-B178)*(M181-B179)/((B180-B178)*(B180-B179))</f>
        <v>1.056278924815184</v>
      </c>
      <c r="L178" s="584" t="s">
        <v>9</v>
      </c>
      <c r="M178" s="355">
        <f>IF((M181&gt;0),((100+(G183/-J188))/100))</f>
        <v>0.9978431799886526</v>
      </c>
      <c r="N178" s="322"/>
      <c r="O178" s="380">
        <v>2.7</v>
      </c>
      <c r="P178" s="381">
        <v>2.5</v>
      </c>
      <c r="Q178" s="382">
        <v>2.3</v>
      </c>
      <c r="R178" s="372">
        <f>O178*(R176-P176)*(R176-Q176)/((O176-P176)*(O176-Q176))+P178*(R176-O176)*(R176-Q176)/((P176-O176)*(P176-Q176))+Q178*(R176-O176)*(R176-P176)/((Q176-O176)*(Q176-P176))</f>
        <v>2.595219200137548</v>
      </c>
      <c r="T178" s="668" t="s">
        <v>7</v>
      </c>
      <c r="U178" s="668">
        <v>15.0</v>
      </c>
      <c r="V178" s="668">
        <v>0.641</v>
      </c>
      <c r="AC178" s="322"/>
      <c r="AD178" s="322"/>
    </row>
    <row r="179" spans="8:8" customHeight="1">
      <c r="A179" s="611">
        <v>0.85</v>
      </c>
      <c r="B179" s="359">
        <v>227.5</v>
      </c>
      <c r="C179" s="359">
        <v>0.7297</v>
      </c>
      <c r="F179" s="388" t="s">
        <v>90</v>
      </c>
      <c r="G179" s="389">
        <f>G177/J182</f>
        <v>4.640639982406319</v>
      </c>
      <c r="H179" s="593">
        <f>(G179/(Calculadora!$B$3*$AA$1))*Calculadora!$B$5/4</f>
        <v>0.0</v>
      </c>
      <c r="I179" s="366" t="s">
        <v>97</v>
      </c>
      <c r="J179" s="368">
        <f>$AT$1*Calculadora!$B$3*M175*1*(1-(G183*0.016))</f>
        <v>2.607866965239998</v>
      </c>
      <c r="K179" s="578"/>
      <c r="L179" s="584" t="s">
        <v>10</v>
      </c>
      <c r="M179" s="355">
        <f>IF((M181&gt;0),((100+(G183/-J189))/100))</f>
        <v>0.997008132476656</v>
      </c>
      <c r="N179" s="322"/>
      <c r="T179" s="668" t="s">
        <v>7</v>
      </c>
      <c r="U179" s="668">
        <v>20.0</v>
      </c>
      <c r="V179" s="668">
        <v>0.645</v>
      </c>
      <c r="AC179" s="322"/>
      <c r="AD179" s="322"/>
    </row>
    <row r="180" spans="8:8" customHeight="1">
      <c r="A180" s="611">
        <v>0.8</v>
      </c>
      <c r="B180" s="395">
        <v>210.0</v>
      </c>
      <c r="C180" s="395">
        <v>0.6</v>
      </c>
      <c r="F180" s="322"/>
      <c r="G180" s="322"/>
      <c r="H180" s="322"/>
      <c r="I180" s="366" t="s">
        <v>98</v>
      </c>
      <c r="J180" s="368">
        <f>$AT$1*Calculadora!$B$3*M175*1.25*(1-(G183*0.015))</f>
        <v>3.2623966617138977</v>
      </c>
      <c r="K180" s="578"/>
      <c r="L180" s="584" t="s">
        <v>105</v>
      </c>
      <c r="M180" s="584">
        <f>M175/4.05*Calculadora!$B$5</f>
        <v>0.0</v>
      </c>
      <c r="N180" s="322"/>
      <c r="T180" s="668" t="s">
        <v>12</v>
      </c>
      <c r="U180" s="668">
        <f>Calculadora!$B$2</f>
        <v>0.95</v>
      </c>
      <c r="V180" s="753">
        <f>V175*(U180-U176)*(U180-U177)*(U180-U178)*(U180-U179)/((U175-U176)*(U175-U177)*(U175-U178)*(U175-U179))+V176*(U180-U175)*(U180-U177)*(U180-U178)*(U180-U179)/((U176-U175)*(U176-U177)*(U176-U178)*(U176-U179))+V177*(U180-U175)*(U180-U176)*(U180-U178)*(U180-U179)/((U177-U175)*(U177-U176)*(U177-U178)*(U177-U179))+V178*(U180-U175)*(U180-U176)*(U180-U177)*(U180-U179)/((U178-U175)*(U178-U176)*(U178-U177)*(U178-U179))+V179*(U180-U175)*(U180-U176)*(U180-U177)*(U180-U178)/((U179-U175)*(U179-U176)*(U179-U177)*(U179-U178))</f>
        <v>0.6271761262260478</v>
      </c>
      <c r="AC180" s="322"/>
      <c r="AD180" s="322"/>
    </row>
    <row r="181" spans="8:8" customHeight="1">
      <c r="A181" s="672"/>
      <c r="B181" s="672"/>
      <c r="C181" s="672"/>
      <c r="D181" s="636"/>
      <c r="E181" s="636"/>
      <c r="F181" s="338" t="s">
        <v>91</v>
      </c>
      <c r="G181" s="322"/>
      <c r="H181" s="322"/>
      <c r="I181" s="366" t="s">
        <v>99</v>
      </c>
      <c r="J181" s="368">
        <f>(100+(J179*2.75/-4))/100</f>
        <v>0.982070914613975</v>
      </c>
      <c r="K181" s="578"/>
      <c r="L181" s="584" t="s">
        <v>106</v>
      </c>
      <c r="M181" s="584">
        <f>$W$13</f>
        <v>261.88</v>
      </c>
      <c r="N181" s="322"/>
      <c r="T181" s="578"/>
      <c r="U181" s="578"/>
      <c r="V181" s="662"/>
    </row>
    <row r="182" spans="8:8" customHeight="1">
      <c r="A182" s="672"/>
      <c r="B182" s="672"/>
      <c r="C182" s="672"/>
      <c r="D182" s="636"/>
      <c r="E182" s="636"/>
      <c r="F182" s="352"/>
      <c r="G182" s="354"/>
      <c r="H182" s="322"/>
      <c r="I182" s="388" t="s">
        <v>100</v>
      </c>
      <c r="J182" s="402">
        <f>(100+(J180*4/-6.25))/100</f>
        <v>0.979120661365031</v>
      </c>
      <c r="K182" s="578"/>
      <c r="L182" s="322"/>
      <c r="M182" s="322"/>
      <c r="N182" s="322"/>
      <c r="O182" s="322"/>
      <c r="P182" s="322"/>
      <c r="T182" s="578"/>
      <c r="U182" s="578"/>
      <c r="V182" s="578"/>
    </row>
    <row r="183" spans="8:8" ht="13.5" customHeight="1">
      <c r="A183" s="636"/>
      <c r="B183" s="672"/>
      <c r="C183" s="672"/>
      <c r="D183" s="672"/>
      <c r="E183" s="636"/>
      <c r="F183" s="366" t="s">
        <v>92</v>
      </c>
      <c r="G183" s="368">
        <f>IF(Calculadora!$B$2&gt;0,Calculadora!$B$2*M176,Calculadora!$B$2*M177)</f>
        <v>0.7764552040850534</v>
      </c>
      <c r="H183" s="322"/>
      <c r="I183" s="754"/>
      <c r="J183" s="754"/>
      <c r="L183" s="322"/>
      <c r="M183" s="755" t="s">
        <v>17</v>
      </c>
      <c r="N183" s="756"/>
      <c r="O183" s="757"/>
      <c r="P183" s="322"/>
    </row>
    <row r="184" spans="8:8" ht="13.5" customHeight="1">
      <c r="B184" s="672"/>
      <c r="C184" s="672"/>
      <c r="D184" s="672"/>
      <c r="E184" s="636"/>
      <c r="F184" s="388"/>
      <c r="G184" s="402"/>
      <c r="H184" s="322"/>
      <c r="I184" s="352" t="s">
        <v>103</v>
      </c>
      <c r="J184" s="415">
        <f>M181+G183-J179</f>
        <v>260.04858823884496</v>
      </c>
      <c r="K184" s="656">
        <f>M181+G183</f>
        <v>262.65645520408503</v>
      </c>
      <c r="L184" s="322"/>
      <c r="M184" s="758">
        <f>MOD(F188,100/360)</f>
        <v>0.12948712452888578</v>
      </c>
      <c r="N184" s="759">
        <f>M184*360</f>
        <v>46.61536483039888</v>
      </c>
      <c r="O184" s="368">
        <f>IF(N184&lt;N186,ROUNDDOWN(N184/100,0),ROUNDUP(N184/100,0))</f>
        <v>1.0</v>
      </c>
      <c r="P184" s="322"/>
      <c r="T184" s="668" t="s">
        <v>7</v>
      </c>
      <c r="U184" s="668">
        <v>-0.01</v>
      </c>
      <c r="V184" s="668">
        <v>0.525</v>
      </c>
    </row>
    <row r="185" spans="8:8" ht="13.5" customHeight="1">
      <c r="A185" s="636"/>
      <c r="B185" s="636"/>
      <c r="C185" s="672"/>
      <c r="D185" s="636"/>
      <c r="E185" s="636"/>
      <c r="F185" s="578"/>
      <c r="G185" s="578"/>
      <c r="H185" s="322"/>
      <c r="I185" s="388" t="s">
        <v>104</v>
      </c>
      <c r="J185" s="423">
        <f>M181+G183+J180</f>
        <v>265.9188518657989</v>
      </c>
      <c r="K185" s="322"/>
      <c r="L185" s="322"/>
      <c r="M185" s="758">
        <f>MOD(F189,100/360)</f>
        <v>0.2745358535344914</v>
      </c>
      <c r="N185" s="759">
        <f>M185*360</f>
        <v>98.8329072724169</v>
      </c>
      <c r="O185" s="368">
        <f>IF(N185&lt;N186,ROUNDDOWN(N185/100,0),ROUNDUP(N185/100,0))</f>
        <v>1.0</v>
      </c>
      <c r="P185" s="322"/>
      <c r="T185" s="668" t="s">
        <v>7</v>
      </c>
      <c r="U185" s="668">
        <v>-10.0</v>
      </c>
      <c r="V185" s="668">
        <v>0.515</v>
      </c>
    </row>
    <row r="186" spans="8:8" customHeight="1">
      <c r="A186" s="636"/>
      <c r="B186" s="672"/>
      <c r="C186" s="672"/>
      <c r="D186" s="636"/>
      <c r="E186" s="636"/>
      <c r="F186" s="322"/>
      <c r="G186" s="322"/>
      <c r="H186" s="322"/>
      <c r="I186" s="322"/>
      <c r="J186" s="322"/>
      <c r="K186" s="322"/>
      <c r="L186" s="322"/>
      <c r="M186" s="760" t="s">
        <v>371</v>
      </c>
      <c r="N186" s="760">
        <v>40.0</v>
      </c>
      <c r="O186" s="368"/>
      <c r="P186" s="322"/>
      <c r="T186" s="668" t="s">
        <v>7</v>
      </c>
      <c r="U186" s="668">
        <v>-20.0</v>
      </c>
      <c r="V186" s="668">
        <v>0.505</v>
      </c>
    </row>
    <row r="187" spans="8:8" customHeight="1">
      <c r="A187" s="636"/>
      <c r="B187" s="636"/>
      <c r="C187" s="672"/>
      <c r="D187" s="636"/>
      <c r="E187" s="637" t="s">
        <v>95</v>
      </c>
      <c r="F187" s="584" t="s">
        <v>96</v>
      </c>
      <c r="G187" s="584" t="s">
        <v>77</v>
      </c>
      <c r="H187" s="584" t="s">
        <v>18</v>
      </c>
      <c r="I187" s="322"/>
      <c r="J187" s="584" t="s">
        <v>14</v>
      </c>
      <c r="K187" s="584" t="s">
        <v>78</v>
      </c>
      <c r="L187" s="584" t="s">
        <v>15</v>
      </c>
      <c r="M187" s="425" t="s">
        <v>372</v>
      </c>
      <c r="N187" s="425">
        <v>60.0</v>
      </c>
      <c r="O187" s="368"/>
      <c r="P187" s="322"/>
      <c r="T187" s="668" t="s">
        <v>7</v>
      </c>
      <c r="U187" s="668">
        <v>-30.0</v>
      </c>
      <c r="V187" s="668">
        <v>0.495</v>
      </c>
    </row>
    <row r="188" spans="8:8" customHeight="1">
      <c r="A188" s="672"/>
      <c r="B188" s="672"/>
      <c r="C188" s="672"/>
      <c r="D188" s="637" t="s">
        <v>101</v>
      </c>
      <c r="E188" s="638">
        <f>INDEX(Caliper!$F$291:$F$363,(ROUNDUP(((F188-80)/(20/72))+1,0)),1)</f>
        <v>284.3833333333539</v>
      </c>
      <c r="F188" s="446">
        <f>100*(J184-B177)*(J184-B178)*(J184-B179)*(J184-B180)/((B176-B177)*(B176-B178)*(B176-B179)*(B176-B180))+95*(J184-B176)*(J184-B178)*(J184-B179)*(J184-B180)/((B177-B176)*(B177-B178)*(B177-B179)*(B177-B180))+90*(J184-B176)*(J184-B177)*(J184-B179)*(J184-B180)/((B178-B176)*(B178-B177)*(B178-B179)*(B178-B180))+85*(J184-B176)*(J184-B177)*(J184-B178)*(J184-B180)/((B179-B176)*(B179-B177)*(B179-B178)*(B179-B180))+80*(J184-B176)*(J184-B177)*(J184-B178)*(J184-B179)/((B180-B176)*(B180-B177)*(B180-B178)*(B180-B179))</f>
        <v>94.01837601341778</v>
      </c>
      <c r="G188" s="446">
        <f>G178+H178</f>
        <v>4.46228126996178</v>
      </c>
      <c r="H188" s="584">
        <f>O188</f>
        <v>29.0</v>
      </c>
      <c r="I188" s="584" t="s">
        <v>7</v>
      </c>
      <c r="J188" s="355">
        <f>R177</f>
        <v>3.5999999999999948</v>
      </c>
      <c r="K188" s="448">
        <v>1.0128</v>
      </c>
      <c r="L188" s="761">
        <f>V180</f>
        <v>0.6271761262260478</v>
      </c>
      <c r="M188" s="338" t="s">
        <v>19</v>
      </c>
      <c r="N188" s="338">
        <f>IF(N184&gt;N186,29,29)</f>
        <v>29.0</v>
      </c>
      <c r="O188" s="338">
        <f>IF(N184&gt;N187,30,N188)</f>
        <v>29.0</v>
      </c>
      <c r="P188" s="322"/>
      <c r="T188" s="668" t="s">
        <v>7</v>
      </c>
      <c r="U188" s="668">
        <v>-40.0</v>
      </c>
      <c r="V188" s="668">
        <v>0.485</v>
      </c>
    </row>
    <row r="189" spans="8:8" customHeight="1">
      <c r="A189" s="672"/>
      <c r="B189" s="672"/>
      <c r="C189" s="672"/>
      <c r="D189" s="637" t="s">
        <v>102</v>
      </c>
      <c r="E189" s="638">
        <f>INDEX(Caliper!$F$291:$F$363,(ROUNDUP(((F189-80)/(20/72))+1,0)),1)</f>
        <v>288.5777777777987</v>
      </c>
      <c r="F189" s="446">
        <f>100*(J185-B177)*(J185-B178)*(J185-B179)*(J185-B180)/((B176-B177)*(B176-B178)*(B176-B179)*(B176-B180))+95*(J185-B176)*(J185-B178)*(J185-B179)*(J185-B180)/((B177-B176)*(B177-B178)*(B177-B179)*(B177-B180))+90*(J185-B176)*(J185-B177)*(J185-B179)*(J185-B180)/((B178-B176)*(B178-B177)*(B178-B179)*(B178-B180))+85*(J185-B176)*(J185-B177)*(J185-B178)*(J185-B180)/((B179-B176)*(B179-B177)*(B179-B178)*(B179-B180))+80*(J185-B176)*(J185-B177)*(J185-B178)*(J185-B179)/((B180-B176)*(B180-B177)*(B180-B178)*(B180-B179))</f>
        <v>95.55231363131227</v>
      </c>
      <c r="G189" s="446">
        <f>G179+H179</f>
        <v>4.64063998240632</v>
      </c>
      <c r="H189" s="584">
        <f>O189</f>
        <v>30.0</v>
      </c>
      <c r="I189" s="584" t="s">
        <v>13</v>
      </c>
      <c r="J189" s="355">
        <f>R178</f>
        <v>2.595219200137548</v>
      </c>
      <c r="K189" s="448">
        <v>1.0115</v>
      </c>
      <c r="L189" s="761">
        <f>V189</f>
        <v>0.5259621396608449</v>
      </c>
      <c r="M189" s="425"/>
      <c r="N189" s="425">
        <f>IF(N185&gt;N186,29,29)</f>
        <v>29.0</v>
      </c>
      <c r="O189" s="425">
        <f>IF(N185&gt;N187,30,N189)</f>
        <v>30.0</v>
      </c>
      <c r="P189" s="322"/>
      <c r="T189" s="668" t="s">
        <v>12</v>
      </c>
      <c r="U189" s="668">
        <f>Calculadora!$B$2</f>
        <v>0.95</v>
      </c>
      <c r="V189" s="753">
        <f>V184*(U189-U185)*(U189-U186)*(U189-U187)*(U189-U188)/((U184-U185)*(U184-U186)*(U184-U187)*(U184-U188))+V185*(U189-U184)*(U189-U186)*(U189-U187)*(U189-U188)/((U185-U184)*(U185-U186)*(U185-U187)*(U185-U188))+V186*(U189-U184)*(U189-U185)*(U189-U187)*(U189-U188)/((U186-U184)*(U186-U185)*(U186-U187)*(U186-U188))+V187*(U189-U184)*(U189-U185)*(U189-U186)*(U189-U188)/((U187-U184)*(U187-U185)*(U187-U186)*(U187-U188))+V188*(U189-U184)*(U189-U185)*(U189-U186)*(U189-U187)/((U188-U184)*(U188-U185)*(U188-U186)*(U188-U187))</f>
        <v>0.5259621396608449</v>
      </c>
    </row>
    <row r="190" spans="8:8" customHeight="1">
      <c r="A190" s="648"/>
      <c r="B190" s="648"/>
      <c r="C190" s="648"/>
      <c r="D190" s="636"/>
      <c r="E190" s="636"/>
      <c r="F190" s="322"/>
      <c r="G190" s="322"/>
      <c r="H190" s="322"/>
      <c r="I190" s="322"/>
      <c r="J190" s="322"/>
      <c r="K190" s="322"/>
      <c r="L190" s="322"/>
      <c r="M190" s="322"/>
      <c r="N190" s="322"/>
      <c r="O190" s="322"/>
      <c r="P190" s="322"/>
      <c r="S190" s="322"/>
      <c r="T190" s="322"/>
      <c r="U190" s="322"/>
    </row>
    <row r="191" spans="8:8" customHeight="1">
      <c r="A191" s="597"/>
      <c r="B191" s="598"/>
      <c r="C191" s="598"/>
      <c r="D191" s="598"/>
      <c r="E191" s="598"/>
      <c r="F191" s="598"/>
      <c r="G191" s="598"/>
      <c r="H191" s="598"/>
      <c r="I191" s="598"/>
      <c r="J191" s="598"/>
      <c r="K191" s="598"/>
      <c r="L191" s="598"/>
      <c r="M191" s="598"/>
      <c r="N191" s="598"/>
      <c r="O191" s="598"/>
      <c r="P191" s="598"/>
      <c r="Q191" s="598"/>
      <c r="R191" s="598"/>
      <c r="S191" s="598"/>
      <c r="T191" s="598"/>
      <c r="U191" s="598"/>
      <c r="V191" s="598"/>
      <c r="W191" s="598"/>
      <c r="X191" s="598"/>
      <c r="Y191" s="599"/>
    </row>
    <row r="192" spans="8:8" customHeight="1">
      <c r="A192" s="762"/>
      <c r="B192" s="762"/>
      <c r="C192" s="762"/>
      <c r="D192" s="636"/>
      <c r="E192" s="636"/>
      <c r="F192" s="322"/>
      <c r="G192" s="322"/>
      <c r="H192" s="322"/>
      <c r="I192" s="322"/>
      <c r="J192" s="322"/>
      <c r="K192" s="324" t="s">
        <v>111</v>
      </c>
      <c r="L192" s="322"/>
      <c r="M192" s="322"/>
      <c r="N192" s="322"/>
      <c r="O192" s="322"/>
      <c r="P192" s="322"/>
      <c r="S192" s="322"/>
    </row>
    <row r="193" spans="8:8" customHeight="1">
      <c r="A193" s="639" t="s">
        <v>259</v>
      </c>
      <c r="B193" s="337" t="s">
        <v>86</v>
      </c>
      <c r="C193" s="337" t="s">
        <v>77</v>
      </c>
      <c r="F193" s="584" t="s">
        <v>77</v>
      </c>
      <c r="G193" s="322"/>
      <c r="H193" s="322"/>
      <c r="I193" s="584" t="s">
        <v>93</v>
      </c>
      <c r="J193" s="621"/>
      <c r="K193" s="291">
        <f>C194*(M199-B195)*(M199-B196)/((B194-B195)*(B194-B196))+C195*(M199-B194)*(M199-B196)/((B195-B194)*(B195-B196))+C196*(M199-B194)*(M199-B195)/((B196-B194)*(B196-B195))</f>
        <v>2.448876990970481</v>
      </c>
      <c r="L193" s="584" t="s">
        <v>77</v>
      </c>
      <c r="M193" s="585">
        <f>IF(M199&gt;B196,K193,K196)</f>
        <v>2.448876990970481</v>
      </c>
      <c r="N193" s="322"/>
      <c r="O193" s="342" t="s">
        <v>14</v>
      </c>
      <c r="S193" s="322"/>
    </row>
    <row r="194" spans="8:8" customHeight="1">
      <c r="A194" s="364">
        <v>1.0</v>
      </c>
      <c r="B194" s="337">
        <f>IF($M$202+16=$U$194,U195,IF($M$202+16=$V$194,V195,IF($M$202+16=$W$194,W195)))</f>
        <v>210.47</v>
      </c>
      <c r="C194" s="337">
        <f>IF($M$202+16=$U$202,U203,IF($M$202+16=$V$202,V203,IF($M$202+16=$W$202,W203)))</f>
        <v>1.2335</v>
      </c>
      <c r="F194" s="352" t="s">
        <v>87</v>
      </c>
      <c r="G194" s="353">
        <f>M193*$AA$1*Calculadora!$B$3</f>
        <v>10.592175123673904</v>
      </c>
      <c r="H194" s="322"/>
      <c r="I194" s="352"/>
      <c r="J194" s="354"/>
      <c r="L194" s="584" t="s">
        <v>7</v>
      </c>
      <c r="M194" s="355">
        <f>L206*POWER(K206,(B194-M199))</f>
        <v>0.16664804884553966</v>
      </c>
      <c r="N194" s="322"/>
      <c r="O194" s="356">
        <f>B194</f>
        <v>210.47</v>
      </c>
      <c r="P194" s="357">
        <f>B196</f>
        <v>184.88</v>
      </c>
      <c r="Q194" s="356">
        <f>B198</f>
        <v>160.46</v>
      </c>
      <c r="R194" s="358">
        <f>K202</f>
        <v>262.03831564640325</v>
      </c>
      <c r="T194" s="763" t="s">
        <v>260</v>
      </c>
      <c r="U194" s="764">
        <v>196.0</v>
      </c>
      <c r="V194" s="764">
        <v>200.0</v>
      </c>
      <c r="W194" s="764">
        <v>206.0</v>
      </c>
    </row>
    <row r="195" spans="8:8" customHeight="1">
      <c r="A195" s="378">
        <v>0.95</v>
      </c>
      <c r="B195" s="365">
        <f t="shared" si="0" ref="B195:B198">IF($M$202+16=$U$194,U196,IF($M$202+16=$V$194,V196,IF($M$202+16=$W$194,W196)))</f>
        <v>197.67</v>
      </c>
      <c r="C195" s="365">
        <f t="shared" si="1" ref="C195:C198">IF($M$202+16=$U$202,U204,IF($M$202+16=$V$202,V204,IF($M$202+16=$W$202,W204)))</f>
        <v>1.0395</v>
      </c>
      <c r="F195" s="366" t="s">
        <v>88</v>
      </c>
      <c r="G195" s="367">
        <f>IF(G201&gt;0,G194*M196,G194*M197)</f>
        <v>10.587383960669559</v>
      </c>
      <c r="H195" s="322"/>
      <c r="I195" s="366" t="s">
        <v>94</v>
      </c>
      <c r="J195" s="368">
        <f>M193*Calculadora!$B$3*$AA$2</f>
        <v>6.142539301627596</v>
      </c>
      <c r="K195" s="369" t="s">
        <v>112</v>
      </c>
      <c r="L195" s="584" t="s">
        <v>8</v>
      </c>
      <c r="M195" s="355">
        <f>L207*POWER(K207,(B194-M199))</f>
        <v>0.2048928821687172</v>
      </c>
      <c r="N195" s="322"/>
      <c r="O195" s="370">
        <v>3.5</v>
      </c>
      <c r="P195" s="371">
        <v>3.5</v>
      </c>
      <c r="Q195" s="357">
        <v>3.5</v>
      </c>
      <c r="R195" s="372">
        <f>O195*(R194-P194)*(R194-Q194)/((O194-P194)*(O194-Q194))+P195*(R194-O194)*(R194-Q194)/((P194-O194)*(P194-Q194))+Q195*(R194-O194)*(R194-P194)/((Q194-O194)*(Q194-P194))</f>
        <v>3.50000000000003</v>
      </c>
      <c r="T195" s="608">
        <v>1.0</v>
      </c>
      <c r="U195" s="765">
        <v>210.47</v>
      </c>
      <c r="V195" s="766">
        <v>212.25</v>
      </c>
      <c r="W195" s="766">
        <v>219.55</v>
      </c>
    </row>
    <row r="196" spans="8:8" customHeight="1">
      <c r="A196" s="378">
        <v>0.9</v>
      </c>
      <c r="B196" s="365">
        <f t="shared" si="0"/>
        <v>184.88</v>
      </c>
      <c r="C196" s="365">
        <f t="shared" si="1"/>
        <v>0.8889</v>
      </c>
      <c r="F196" s="366" t="s">
        <v>89</v>
      </c>
      <c r="G196" s="367">
        <f>G195*J199</f>
        <v>10.150331167536498</v>
      </c>
      <c r="H196" s="593">
        <f>(G196/(Calculadora!$B$3*$AA$1))*Calculadora!$B$5/4</f>
        <v>0.0</v>
      </c>
      <c r="I196" s="366"/>
      <c r="J196" s="368"/>
      <c r="K196" s="291">
        <f>C196*(M199-B197)*(M199-B198)/((B196-B197)*(B196-B198))+C197*(M199-B196)*(M199-B198)/((B197-B196)*(B197-B198))+C198*(M199-B196)*(M199-B197)/((B198-B196)*(B198-B197))</f>
        <v>2.2443927429025994</v>
      </c>
      <c r="L196" s="584" t="s">
        <v>9</v>
      </c>
      <c r="M196" s="355">
        <f>IF((M199&gt;0),((100+(G201/-J206))/100))</f>
        <v>0.9995476695817049</v>
      </c>
      <c r="N196" s="322"/>
      <c r="O196" s="380">
        <v>2.4</v>
      </c>
      <c r="P196" s="381">
        <v>2.6</v>
      </c>
      <c r="Q196" s="382">
        <v>2.8</v>
      </c>
      <c r="R196" s="372">
        <f>O196*(R194-P194)*(R194-Q194)/((O194-P194)*(O194-Q194))+P196*(R194-O194)*(R194-Q194)/((P194-O194)*(P194-Q194))+Q196*(R194-O194)*(R194-P194)/((Q194-O194)*(Q194-P194))</f>
        <v>2.0267577215936905</v>
      </c>
      <c r="T196" s="611">
        <v>0.95</v>
      </c>
      <c r="U196" s="384">
        <v>197.67</v>
      </c>
      <c r="V196" s="767">
        <v>198.85</v>
      </c>
      <c r="W196" s="767">
        <v>206.5</v>
      </c>
      <c r="X196" s="636"/>
    </row>
    <row r="197" spans="8:8" customHeight="1">
      <c r="A197" s="378">
        <v>0.85</v>
      </c>
      <c r="B197" s="365">
        <f t="shared" si="0"/>
        <v>172.5</v>
      </c>
      <c r="C197" s="365">
        <f t="shared" si="1"/>
        <v>0.7747</v>
      </c>
      <c r="F197" s="388" t="s">
        <v>90</v>
      </c>
      <c r="G197" s="389">
        <f>G195/J200</f>
        <v>11.142270044622977</v>
      </c>
      <c r="H197" s="593">
        <f>(G197/(Calculadora!$B$3*$AA$1))*Calculadora!$B$5/4</f>
        <v>0.0</v>
      </c>
      <c r="I197" s="366" t="s">
        <v>97</v>
      </c>
      <c r="J197" s="368">
        <f>$AT$1*Calculadora!$B$3*M193*0.98*(1-(G201*0.016))</f>
        <v>6.00444034153916</v>
      </c>
      <c r="K197" s="621"/>
      <c r="L197" s="584" t="s">
        <v>10</v>
      </c>
      <c r="M197" s="355">
        <f>IF((M199&gt;0),((100+(G201/-J207))/100))</f>
        <v>0.9992188723658653</v>
      </c>
      <c r="N197" s="322"/>
      <c r="T197" s="611">
        <v>0.9</v>
      </c>
      <c r="U197" s="384">
        <v>184.88</v>
      </c>
      <c r="V197" s="767">
        <v>186.55</v>
      </c>
      <c r="W197" s="767">
        <v>193.8</v>
      </c>
      <c r="X197" s="636"/>
    </row>
    <row r="198" spans="8:8" customHeight="1">
      <c r="A198" s="378">
        <v>0.8</v>
      </c>
      <c r="B198" s="395">
        <f t="shared" si="0"/>
        <v>160.46</v>
      </c>
      <c r="C198" s="395">
        <f t="shared" si="1"/>
        <v>0.6912</v>
      </c>
      <c r="F198" s="322"/>
      <c r="G198" s="322"/>
      <c r="H198" s="322"/>
      <c r="I198" s="366" t="s">
        <v>98</v>
      </c>
      <c r="J198" s="368">
        <f>$AT$1*Calculadora!$B$3*M193*1.27*(1-(G201*0.016))</f>
        <v>7.781264524239524</v>
      </c>
      <c r="K198" s="621"/>
      <c r="L198" s="584" t="s">
        <v>105</v>
      </c>
      <c r="M198" s="584">
        <f>M193/4.05*Calculadora!$B$5</f>
        <v>0.0</v>
      </c>
      <c r="N198" s="322"/>
      <c r="O198" s="768" t="s">
        <v>7</v>
      </c>
      <c r="P198" s="769">
        <v>0.1</v>
      </c>
      <c r="Q198" s="770">
        <v>0.43</v>
      </c>
      <c r="T198" s="611">
        <v>0.85</v>
      </c>
      <c r="U198" s="384">
        <v>172.5</v>
      </c>
      <c r="V198" s="767">
        <v>175.0</v>
      </c>
      <c r="W198" s="767">
        <v>181.4</v>
      </c>
    </row>
    <row r="199" spans="8:8" customHeight="1">
      <c r="A199" s="672"/>
      <c r="B199" s="672"/>
      <c r="C199" s="672"/>
      <c r="D199" s="636"/>
      <c r="E199" s="636"/>
      <c r="F199" s="338" t="s">
        <v>91</v>
      </c>
      <c r="G199" s="322"/>
      <c r="H199" s="322"/>
      <c r="I199" s="366" t="s">
        <v>99</v>
      </c>
      <c r="J199" s="368">
        <f>(100+(J197*2.75/-4))/100</f>
        <v>0.9587194726519183</v>
      </c>
      <c r="K199" s="621"/>
      <c r="L199" s="584" t="s">
        <v>106</v>
      </c>
      <c r="M199" s="584">
        <f>$W$13</f>
        <v>261.88</v>
      </c>
      <c r="N199" s="322"/>
      <c r="O199" s="768"/>
      <c r="P199" s="771">
        <v>5.0</v>
      </c>
      <c r="Q199" s="772">
        <v>0.47</v>
      </c>
      <c r="T199" s="611">
        <v>0.8</v>
      </c>
      <c r="U199" s="773">
        <v>160.46</v>
      </c>
      <c r="V199" s="774">
        <v>164.12</v>
      </c>
      <c r="W199" s="774">
        <v>169.4</v>
      </c>
    </row>
    <row r="200" spans="8:8" customHeight="1">
      <c r="B200" s="672"/>
      <c r="C200" s="672"/>
      <c r="D200" s="636"/>
      <c r="E200" s="636"/>
      <c r="F200" s="352"/>
      <c r="G200" s="354"/>
      <c r="H200" s="322"/>
      <c r="I200" s="388" t="s">
        <v>100</v>
      </c>
      <c r="J200" s="402">
        <f>(100+(J198*4/-6.25))/100</f>
        <v>0.950199907044867</v>
      </c>
      <c r="K200" s="621"/>
      <c r="N200" s="322"/>
      <c r="O200" s="768"/>
      <c r="P200" s="771">
        <v>10.0</v>
      </c>
      <c r="Q200" s="772">
        <v>0.5</v>
      </c>
    </row>
    <row r="201" spans="8:8" customHeight="1">
      <c r="B201" s="672"/>
      <c r="C201" s="672"/>
      <c r="D201" s="636"/>
      <c r="E201" s="636"/>
      <c r="F201" s="366" t="s">
        <v>92</v>
      </c>
      <c r="G201" s="368">
        <f>IF(Calculadora!$B$2&gt;0,Calculadora!$B$2*M194,Calculadora!$B$2*M195)</f>
        <v>0.15831564640326268</v>
      </c>
      <c r="H201" s="322"/>
      <c r="I201" s="621"/>
      <c r="J201" s="621"/>
      <c r="L201" s="322"/>
      <c r="O201" s="775"/>
      <c r="P201" s="776">
        <v>15.0</v>
      </c>
      <c r="Q201" s="772">
        <v>0.54</v>
      </c>
    </row>
    <row r="202" spans="8:8" customHeight="1">
      <c r="C202" s="672"/>
      <c r="D202" s="636"/>
      <c r="E202" s="636"/>
      <c r="F202" s="388"/>
      <c r="G202" s="402"/>
      <c r="H202" s="322"/>
      <c r="I202" s="352" t="s">
        <v>103</v>
      </c>
      <c r="J202" s="415">
        <f>M199+G201-J197</f>
        <v>256.03387530486384</v>
      </c>
      <c r="K202" s="620">
        <f>M199+G201</f>
        <v>262.03831564640325</v>
      </c>
      <c r="L202" s="777" t="s">
        <v>50</v>
      </c>
      <c r="M202" s="777">
        <f>Calculadora!B10+40</f>
        <v>180.0</v>
      </c>
      <c r="O202" s="768"/>
      <c r="P202" s="778">
        <f>Calculadora!$B$2</f>
        <v>0.95</v>
      </c>
      <c r="Q202" s="779">
        <f>Q198*(P202-P199)*(P202-P200)*(P202-P201)/((P198-P199)*(P198-P200)*(P198-P201))+Q199*(P202-P198)*(P202-P200)*(P202-P201)/((P199-P198)*(P199-P200)*(P199-P201))+Q200*(P202-P198)*(P202-P199)*(P202-P201)/((P200-P198)*(P200-P199)*(P200-P201))+Q201*(P202-P198)*(P202-P199)*(P202-P200)/((P201-P198)*(P201-P199)*(P201-P200))</f>
        <v>0.4385660738971002</v>
      </c>
      <c r="T202" s="763" t="s">
        <v>77</v>
      </c>
      <c r="U202" s="764">
        <v>196.0</v>
      </c>
      <c r="V202" s="764">
        <v>200.0</v>
      </c>
      <c r="W202" s="764">
        <v>206.0</v>
      </c>
    </row>
    <row r="203" spans="8:8" customHeight="1">
      <c r="A203" s="672"/>
      <c r="B203" s="647"/>
      <c r="C203" s="672"/>
      <c r="D203" s="636"/>
      <c r="E203" s="636"/>
      <c r="F203" s="621"/>
      <c r="G203" s="621"/>
      <c r="H203" s="322"/>
      <c r="I203" s="388" t="s">
        <v>104</v>
      </c>
      <c r="J203" s="423">
        <f>M199+G201+J198</f>
        <v>269.81958017064255</v>
      </c>
      <c r="K203" s="322"/>
      <c r="L203" s="322"/>
      <c r="O203" s="768" t="s">
        <v>13</v>
      </c>
      <c r="P203" s="769">
        <v>-0.1</v>
      </c>
      <c r="Q203" s="770">
        <v>0.625</v>
      </c>
      <c r="T203" s="608">
        <v>1.0</v>
      </c>
      <c r="U203" s="765">
        <v>1.2335</v>
      </c>
      <c r="V203" s="766">
        <v>1.244</v>
      </c>
      <c r="W203" s="766">
        <v>1.329</v>
      </c>
    </row>
    <row r="204" spans="8:8" customHeight="1">
      <c r="A204" s="672"/>
      <c r="B204" s="672"/>
      <c r="C204" s="672"/>
      <c r="D204" s="636"/>
      <c r="E204" s="636"/>
      <c r="F204" s="322"/>
      <c r="G204" s="322"/>
      <c r="H204" s="322"/>
      <c r="I204" s="322"/>
      <c r="J204" s="322"/>
      <c r="K204" s="322"/>
      <c r="L204" s="322"/>
      <c r="O204" s="768"/>
      <c r="P204" s="771">
        <v>-5.0</v>
      </c>
      <c r="Q204" s="772">
        <v>0.615</v>
      </c>
      <c r="T204" s="611">
        <v>0.95</v>
      </c>
      <c r="U204" s="384">
        <v>1.0395</v>
      </c>
      <c r="V204" s="767">
        <v>1.0458</v>
      </c>
      <c r="W204" s="767">
        <v>1.1129</v>
      </c>
    </row>
    <row r="205" spans="8:8" customHeight="1">
      <c r="A205" s="672"/>
      <c r="B205" s="672"/>
      <c r="C205" s="672"/>
      <c r="D205" s="636"/>
      <c r="E205" s="637" t="s">
        <v>95</v>
      </c>
      <c r="F205" s="584" t="s">
        <v>96</v>
      </c>
      <c r="G205" s="584" t="s">
        <v>77</v>
      </c>
      <c r="I205" s="322"/>
      <c r="J205" s="584" t="s">
        <v>14</v>
      </c>
      <c r="K205" s="584" t="s">
        <v>78</v>
      </c>
      <c r="L205" s="584" t="s">
        <v>15</v>
      </c>
      <c r="O205" s="768"/>
      <c r="P205" s="771">
        <v>-10.0</v>
      </c>
      <c r="Q205" s="772">
        <v>0.605</v>
      </c>
      <c r="T205" s="611">
        <v>0.9</v>
      </c>
      <c r="U205" s="384">
        <v>0.8889</v>
      </c>
      <c r="V205" s="767">
        <v>0.897</v>
      </c>
      <c r="W205" s="767">
        <v>0.942</v>
      </c>
    </row>
    <row r="206" spans="8:8" customHeight="1">
      <c r="A206" s="672"/>
      <c r="B206" s="672"/>
      <c r="C206" s="672"/>
      <c r="D206" s="637" t="s">
        <v>101</v>
      </c>
      <c r="E206" s="638" t="e">
        <f>INDEX(Caliper!O291:O363,(ROUNDUP(((F206-80)/(20/72))+1,0)),1)</f>
        <v>#REF!</v>
      </c>
      <c r="F206" s="446">
        <f>100*(J202-B195)*(J202-B196)*(J202-B197)*(J202-B198)/((B194-B195)*(B194-B196)*(B194-B197)*(B194-B198))+95*(J202-B194)*(J202-B196)*(J202-B197)*(J202-B198)/((B195-B194)*(B195-B196)*(B195-B197)*(B195-B198))+90*(J202-B194)*(J202-B195)*(J202-B197)*(J202-B198)/((B196-B194)*(B196-B195)*(B196-B197)*(B196-B198))+85*(J202-B194)*(J202-B195)*(J202-B196)*(J202-B198)/((B197-B194)*(B197-B195)*(B197-B196)*(B197-B198))+80*(J202-B194)*(J202-B195)*(J202-B196)*(J202-B197)/((B198-B194)*(B198-B195)*(B198-B196)*(B198-B197))</f>
        <v>124.85480196365961</v>
      </c>
      <c r="G206" s="446">
        <f>G196+H196</f>
        <v>10.1503311675365</v>
      </c>
      <c r="I206" s="584" t="s">
        <v>7</v>
      </c>
      <c r="J206" s="355">
        <f>R195</f>
        <v>3.50000000000003</v>
      </c>
      <c r="K206" s="584">
        <v>1.019</v>
      </c>
      <c r="L206" s="355">
        <f>Q202</f>
        <v>0.4385660738971002</v>
      </c>
      <c r="O206" s="768"/>
      <c r="P206" s="776">
        <v>-15.0</v>
      </c>
      <c r="Q206" s="772">
        <v>0.595</v>
      </c>
      <c r="T206" s="611">
        <v>0.85</v>
      </c>
      <c r="U206" s="384">
        <v>0.7747</v>
      </c>
      <c r="V206" s="767">
        <v>0.786</v>
      </c>
      <c r="W206" s="767">
        <v>0.8123</v>
      </c>
    </row>
    <row r="207" spans="8:8" customHeight="1">
      <c r="A207" s="672"/>
      <c r="B207" s="672"/>
      <c r="C207" s="672"/>
      <c r="D207" s="637" t="s">
        <v>102</v>
      </c>
      <c r="E207" s="638" t="e">
        <f>INDEX(Caliper!O291:O363,(ROUNDUP(((F207-80)/(20/72))+1,0)),1)</f>
        <v>#REF!</v>
      </c>
      <c r="F207" s="446">
        <f>100*(J203-B195)*(J203-B196)*(J203-B197)*(J203-B198)/((B194-B195)*(B194-B196)*(B194-B197)*(B194-B198))+95*(J203-B194)*(J203-B196)*(J203-B197)*(J203-B198)/((B195-B194)*(B195-B196)*(B195-B197)*(B195-B198))+90*(J203-B194)*(J203-B195)*(J203-B197)*(J203-B198)/((B196-B194)*(B196-B195)*(B196-B197)*(B196-B198))+85*(J203-B194)*(J203-B195)*(J203-B196)*(J203-B198)/((B197-B194)*(B197-B195)*(B197-B196)*(B197-B198))+80*(J203-B194)*(J203-B195)*(J203-B196)*(J203-B197)/((B198-B194)*(B198-B195)*(B198-B196)*(B198-B197))</f>
        <v>138.21140680785993</v>
      </c>
      <c r="G207" s="446">
        <f>G197+H197</f>
        <v>11.142270044623</v>
      </c>
      <c r="I207" s="584" t="s">
        <v>13</v>
      </c>
      <c r="J207" s="355">
        <f>R196</f>
        <v>2.0267577215936905</v>
      </c>
      <c r="K207" s="584">
        <v>1.022</v>
      </c>
      <c r="L207" s="355">
        <f>Q207</f>
        <v>0.6271875439437519</v>
      </c>
      <c r="O207" s="768"/>
      <c r="P207" s="778">
        <f>Calculadora!$B$2</f>
        <v>0.95</v>
      </c>
      <c r="Q207" s="779">
        <f>Q203*(P207-P204)*(P207-P205)*(P207-P206)/((P203-P204)*(P203-P205)*(P203-P206))+Q204*(P207-P203)*(P207-P205)*(P207-P206)/((P204-P203)*(P204-P205)*(P204-P206))+Q205*(P207-P203)*(P207-P204)*(P207-P206)/((P205-P203)*(P205-P204)*(P205-P206))+Q206*(P207-P203)*(P207-P204)*(P207-P205)/((P206-P203)*(P206-P204)*(P206-P205))</f>
        <v>0.6271875439437519</v>
      </c>
      <c r="T207" s="611">
        <v>0.8</v>
      </c>
      <c r="U207" s="773">
        <v>0.6912</v>
      </c>
      <c r="V207" s="774">
        <v>0.707</v>
      </c>
      <c r="W207" s="774">
        <v>0.722</v>
      </c>
    </row>
    <row r="208" spans="8:8" customHeight="1">
      <c r="A208" s="762"/>
      <c r="B208" s="762"/>
      <c r="C208" s="762"/>
      <c r="D208" s="636"/>
      <c r="E208" s="636"/>
      <c r="F208" s="322"/>
      <c r="G208" s="322"/>
      <c r="H208" s="322"/>
      <c r="I208" s="322"/>
      <c r="J208" s="322"/>
      <c r="K208" s="322"/>
      <c r="L208" s="322"/>
      <c r="M208" s="322"/>
      <c r="N208" s="322"/>
      <c r="O208" s="322"/>
      <c r="P208" s="322"/>
      <c r="S208" s="322"/>
      <c r="T208" s="322"/>
      <c r="U208" s="322"/>
    </row>
    <row r="209" spans="8:8" customHeight="1">
      <c r="A209" s="597"/>
      <c r="B209" s="598"/>
      <c r="C209" s="598"/>
      <c r="D209" s="598"/>
      <c r="E209" s="598"/>
      <c r="F209" s="598"/>
      <c r="G209" s="598"/>
      <c r="H209" s="598"/>
      <c r="I209" s="598"/>
      <c r="J209" s="598"/>
      <c r="K209" s="598"/>
      <c r="L209" s="598"/>
      <c r="M209" s="598"/>
      <c r="N209" s="598"/>
      <c r="O209" s="598"/>
      <c r="P209" s="598"/>
      <c r="Q209" s="598"/>
      <c r="R209" s="598"/>
      <c r="S209" s="598"/>
      <c r="T209" s="598"/>
      <c r="U209" s="598"/>
      <c r="V209" s="598"/>
      <c r="W209" s="598"/>
      <c r="X209" s="598"/>
      <c r="Y209" s="599"/>
    </row>
    <row r="210" spans="8:8" customHeight="1">
      <c r="A210" s="636"/>
      <c r="B210" s="636"/>
      <c r="C210" s="636"/>
      <c r="D210" s="636"/>
      <c r="E210" s="636"/>
      <c r="F210" s="322"/>
      <c r="G210" s="322"/>
      <c r="H210" s="322"/>
      <c r="I210" s="322"/>
      <c r="J210" s="322"/>
      <c r="K210" s="324" t="s">
        <v>111</v>
      </c>
      <c r="L210" s="322"/>
      <c r="M210" s="322"/>
      <c r="N210" s="322"/>
      <c r="O210" s="322"/>
      <c r="P210" s="322"/>
      <c r="S210" s="322"/>
      <c r="T210" s="322"/>
      <c r="U210" s="322"/>
    </row>
    <row r="211" spans="8:8" customHeight="1">
      <c r="A211" s="639" t="s">
        <v>353</v>
      </c>
      <c r="B211" s="337" t="s">
        <v>86</v>
      </c>
      <c r="C211" s="337" t="s">
        <v>77</v>
      </c>
      <c r="D211" s="672"/>
      <c r="E211" s="672"/>
      <c r="F211" s="584" t="s">
        <v>77</v>
      </c>
      <c r="G211" s="322"/>
      <c r="H211" s="322"/>
      <c r="I211" s="584" t="s">
        <v>93</v>
      </c>
      <c r="J211" s="578"/>
      <c r="K211" s="291">
        <f>C212*(M217-B213)*(M217-B214)/((B212-B213)*(B212-B214))+C213*(M217-B212)*(M217-B214)/((B213-B212)*(B213-B214))+C214*(M217-B212)*(M217-B213)/((B214-B212)*(B214-B213))</f>
        <v>3.087058398435701</v>
      </c>
      <c r="L211" s="584" t="s">
        <v>77</v>
      </c>
      <c r="M211" s="585">
        <f>IF(M217&gt;B214,K211,K214)</f>
        <v>3.087058398435701</v>
      </c>
      <c r="N211" s="322"/>
      <c r="O211" s="342" t="s">
        <v>14</v>
      </c>
      <c r="S211" s="322"/>
    </row>
    <row r="212" spans="8:8" ht="13.5" customHeight="1">
      <c r="A212" s="364">
        <v>1.0</v>
      </c>
      <c r="B212" s="337">
        <f>IF($M$220+16=$U$212,U213,IF($M$220+16=$V$212,V213,IF($M$220+16=$W$212,W213)))</f>
        <v>191.2</v>
      </c>
      <c r="C212" s="337">
        <f>IF($M$220+16=$U$220,U221,IF($M$220+16=$V$220,V221,IF($M$220+16=$W$220,W221)))</f>
        <v>1.4355</v>
      </c>
      <c r="D212" s="672"/>
      <c r="E212" s="672"/>
      <c r="F212" s="352" t="s">
        <v>87</v>
      </c>
      <c r="G212" s="353">
        <f>M211*$AA$1*Calculadora!$B$3</f>
        <v>13.35251353735039</v>
      </c>
      <c r="H212" s="322"/>
      <c r="I212" s="352"/>
      <c r="J212" s="354"/>
      <c r="L212" s="584" t="s">
        <v>7</v>
      </c>
      <c r="M212" s="355">
        <f>L224*POWER(K224,(B212-M217))</f>
        <v>0.21889409836112642</v>
      </c>
      <c r="N212" s="322"/>
      <c r="O212" s="356">
        <f>B212</f>
        <v>191.2</v>
      </c>
      <c r="P212" s="357">
        <f>B214</f>
        <v>169.67</v>
      </c>
      <c r="Q212" s="356">
        <f>B216</f>
        <v>148.5</v>
      </c>
      <c r="R212" s="358">
        <f>K220</f>
        <v>262.08794939344307</v>
      </c>
      <c r="T212" s="763" t="s">
        <v>260</v>
      </c>
      <c r="U212" s="780">
        <v>176.0</v>
      </c>
      <c r="V212" s="780">
        <v>180.0</v>
      </c>
      <c r="W212" s="780">
        <v>186.0</v>
      </c>
    </row>
    <row r="213" spans="8:8" customHeight="1">
      <c r="A213" s="378">
        <v>0.95</v>
      </c>
      <c r="B213" s="365">
        <f t="shared" si="2" ref="B213:B216">IF($M$220+16=$U$212,U214,IF($M$220+16=$V$212,V214,IF($M$220+16=$W$212,W214)))</f>
        <v>180.48</v>
      </c>
      <c r="C213" s="365">
        <f t="shared" si="3" ref="C213:C216">IF($M$220+16=$U$220,U222,IF($M$220+16=$V$220,V222,IF($M$220+16=$W$220,W222)))</f>
        <v>1.2559</v>
      </c>
      <c r="D213" s="672"/>
      <c r="E213" s="672"/>
      <c r="F213" s="366" t="s">
        <v>88</v>
      </c>
      <c r="G213" s="367">
        <f>IF(G219&gt;0,G212*M214,G212*M215)</f>
        <v>13.344580259947438</v>
      </c>
      <c r="H213" s="322"/>
      <c r="I213" s="366" t="s">
        <v>94</v>
      </c>
      <c r="J213" s="368">
        <f>M211*Calculadora!$B$3*$AA$2</f>
        <v>7.74329523644065</v>
      </c>
      <c r="K213" s="369" t="s">
        <v>112</v>
      </c>
      <c r="L213" s="584" t="s">
        <v>8</v>
      </c>
      <c r="M213" s="355">
        <f>L225*POWER(K225,(B212-M217))</f>
        <v>0.20857266637499777</v>
      </c>
      <c r="N213" s="322"/>
      <c r="O213" s="370">
        <v>3.5</v>
      </c>
      <c r="P213" s="371">
        <v>3.5</v>
      </c>
      <c r="Q213" s="357">
        <v>3.5</v>
      </c>
      <c r="R213" s="372">
        <f>O213*(R212-P212)*(R212-Q212)/((O212-P212)*(O212-Q212))+P213*(R212-O212)*(R212-Q212)/((P212-O212)*(P212-Q212))+Q213*(R212-O212)*(R212-P212)/((Q212-O212)*(Q212-P212))</f>
        <v>3.5</v>
      </c>
      <c r="T213" s="611">
        <v>1.0</v>
      </c>
      <c r="U213" s="765">
        <v>191.2</v>
      </c>
      <c r="V213" s="765">
        <v>195.12</v>
      </c>
      <c r="W213" s="765">
        <v>200.85</v>
      </c>
    </row>
    <row r="214" spans="8:8" customHeight="1">
      <c r="A214" s="378">
        <v>0.9</v>
      </c>
      <c r="B214" s="365">
        <f t="shared" si="2"/>
        <v>169.67</v>
      </c>
      <c r="C214" s="365">
        <f t="shared" si="3"/>
        <v>1.0937</v>
      </c>
      <c r="D214" s="672"/>
      <c r="E214" s="672"/>
      <c r="F214" s="366" t="s">
        <v>89</v>
      </c>
      <c r="G214" s="367">
        <f>G213*J217</f>
        <v>12.650703846491506</v>
      </c>
      <c r="H214" s="593">
        <f>(G214/(Calculadora!$B$3*$AA$1))*Calculadora!$B$5/4</f>
        <v>0.0</v>
      </c>
      <c r="I214" s="366"/>
      <c r="J214" s="368"/>
      <c r="K214" s="291">
        <f>C214*(M217-B215)*(M217-B216)/((B214-B215)*(B214-B216))+C215*(M217-B214)*(M217-B216)/((B215-B214)*(B215-B216))+C216*(M217-B214)*(M217-B215)/((B216-B214)*(B216-B215))</f>
        <v>3.0433580527644963</v>
      </c>
      <c r="L214" s="584" t="s">
        <v>9</v>
      </c>
      <c r="M214" s="355">
        <f>IF((M217&gt;0),((100+(G219/-J224))/100))</f>
        <v>0.9994058588758769</v>
      </c>
      <c r="N214" s="322"/>
      <c r="O214" s="380">
        <v>2.3</v>
      </c>
      <c r="P214" s="381">
        <v>2.45</v>
      </c>
      <c r="Q214" s="382">
        <v>2.6</v>
      </c>
      <c r="R214" s="372">
        <f>O214*(R212-P212)*(R212-Q212)/((O212-P212)*(O212-Q212))+P214*(R212-O212)*(R212-Q212)/((P212-O212)*(P212-Q212))+Q214*(R212-O212)*(R212-P212)/((Q212-O212)*(Q212-P212))</f>
        <v>1.8242993584570009</v>
      </c>
      <c r="T214" s="611">
        <v>0.95</v>
      </c>
      <c r="U214" s="384">
        <v>180.48</v>
      </c>
      <c r="V214" s="384">
        <v>184.3</v>
      </c>
      <c r="W214" s="384">
        <v>189.9</v>
      </c>
    </row>
    <row r="215" spans="8:8" customHeight="1">
      <c r="A215" s="378">
        <v>0.85</v>
      </c>
      <c r="B215" s="365">
        <f t="shared" si="2"/>
        <v>159.02</v>
      </c>
      <c r="C215" s="365">
        <f t="shared" si="3"/>
        <v>0.9499</v>
      </c>
      <c r="D215" s="672"/>
      <c r="E215" s="672"/>
      <c r="F215" s="388" t="s">
        <v>90</v>
      </c>
      <c r="G215" s="389">
        <f>G213/J218</f>
        <v>14.237683046346197</v>
      </c>
      <c r="H215" s="593">
        <f>(G215/(Calculadora!$B$3*$AA$1))*Calculadora!$B$5/4</f>
        <v>0.0</v>
      </c>
      <c r="I215" s="366" t="s">
        <v>97</v>
      </c>
      <c r="J215" s="368">
        <f>$AT$1*Calculadora!$B$3*M211*0.98*(1-(G219*0.016))</f>
        <v>7.563181183284395</v>
      </c>
      <c r="K215" s="578"/>
      <c r="L215" s="584" t="s">
        <v>10</v>
      </c>
      <c r="M215" s="355">
        <f>IF((M217&gt;0),((100+(G219/-J225))/100))</f>
        <v>0.9988601136514187</v>
      </c>
      <c r="N215" s="322"/>
      <c r="T215" s="611">
        <v>0.9</v>
      </c>
      <c r="U215" s="384">
        <v>169.67</v>
      </c>
      <c r="V215" s="384">
        <v>173.58</v>
      </c>
      <c r="W215" s="384">
        <v>179.15</v>
      </c>
    </row>
    <row r="216" spans="8:8" ht="13.5" customHeight="1">
      <c r="A216" s="378">
        <v>0.8</v>
      </c>
      <c r="B216" s="395">
        <f t="shared" si="2"/>
        <v>148.5</v>
      </c>
      <c r="C216" s="395">
        <f t="shared" si="3"/>
        <v>0.8244</v>
      </c>
      <c r="D216" s="672"/>
      <c r="E216" s="672"/>
      <c r="F216" s="322"/>
      <c r="G216" s="322"/>
      <c r="H216" s="322"/>
      <c r="I216" s="366" t="s">
        <v>98</v>
      </c>
      <c r="J216" s="368">
        <f>$AT$1*Calculadora!$B$3*M211*1.27*(1-(G219*0.016))</f>
        <v>9.801265410991002</v>
      </c>
      <c r="K216" s="578"/>
      <c r="L216" s="584" t="s">
        <v>105</v>
      </c>
      <c r="M216" s="584">
        <f>M211/4.05*Calculadora!$B$5</f>
        <v>0.0</v>
      </c>
      <c r="N216" s="322"/>
      <c r="O216" s="768" t="s">
        <v>7</v>
      </c>
      <c r="P216" s="769">
        <v>0.01</v>
      </c>
      <c r="Q216" s="770">
        <v>0.41</v>
      </c>
      <c r="T216" s="611">
        <v>0.85</v>
      </c>
      <c r="U216" s="384">
        <v>159.02</v>
      </c>
      <c r="V216" s="384">
        <v>162.9</v>
      </c>
      <c r="W216" s="384">
        <v>168.5</v>
      </c>
    </row>
    <row r="217" spans="8:8" ht="13.5" customHeight="1">
      <c r="A217" s="672"/>
      <c r="B217" s="672"/>
      <c r="C217" s="672"/>
      <c r="D217" s="636"/>
      <c r="E217" s="636"/>
      <c r="F217" s="338" t="s">
        <v>91</v>
      </c>
      <c r="G217" s="322"/>
      <c r="H217" s="322"/>
      <c r="I217" s="366" t="s">
        <v>99</v>
      </c>
      <c r="J217" s="368">
        <f>(100+(J215*2.75/-4))/100</f>
        <v>0.9480031293649198</v>
      </c>
      <c r="K217" s="578"/>
      <c r="L217" s="584" t="s">
        <v>106</v>
      </c>
      <c r="M217" s="584">
        <f>$W$13</f>
        <v>261.88</v>
      </c>
      <c r="N217" s="322"/>
      <c r="O217" s="768"/>
      <c r="P217" s="771">
        <v>5.0</v>
      </c>
      <c r="Q217" s="772">
        <v>0.42</v>
      </c>
      <c r="T217" s="611">
        <v>0.8</v>
      </c>
      <c r="U217" s="773">
        <v>148.5</v>
      </c>
      <c r="V217" s="773">
        <v>152.38</v>
      </c>
      <c r="W217" s="773">
        <v>158.05</v>
      </c>
    </row>
    <row r="218" spans="8:8" customHeight="1">
      <c r="A218" s="672"/>
      <c r="B218" s="672"/>
      <c r="C218" s="672"/>
      <c r="D218" s="636"/>
      <c r="E218" s="636"/>
      <c r="F218" s="352"/>
      <c r="G218" s="354"/>
      <c r="H218" s="322"/>
      <c r="I218" s="388" t="s">
        <v>100</v>
      </c>
      <c r="J218" s="402">
        <f>(100+(J216*4/-6.25))/100</f>
        <v>0.9372719013696575</v>
      </c>
      <c r="K218" s="578"/>
      <c r="N218" s="322"/>
      <c r="O218" s="768"/>
      <c r="P218" s="771">
        <v>10.0</v>
      </c>
      <c r="Q218" s="772">
        <v>0.43</v>
      </c>
    </row>
    <row r="219" spans="8:8" customHeight="1">
      <c r="A219" s="672"/>
      <c r="B219" s="672"/>
      <c r="C219" s="672"/>
      <c r="D219" s="636"/>
      <c r="E219" s="636"/>
      <c r="F219" s="366" t="s">
        <v>92</v>
      </c>
      <c r="G219" s="368">
        <f>IF(Calculadora!$B$2&gt;0,Calculadora!$B$2*M212,Calculadora!$B$2*M213)</f>
        <v>0.2079493934430701</v>
      </c>
      <c r="H219" s="322"/>
      <c r="I219" s="578"/>
      <c r="J219" s="578"/>
      <c r="L219" s="322"/>
      <c r="O219" s="775"/>
      <c r="P219" s="776">
        <v>15.0</v>
      </c>
      <c r="Q219" s="772">
        <v>0.45</v>
      </c>
    </row>
    <row r="220" spans="8:8" customHeight="1">
      <c r="A220" s="672"/>
      <c r="C220" s="672"/>
      <c r="D220" s="636"/>
      <c r="E220" s="636"/>
      <c r="F220" s="388"/>
      <c r="G220" s="402"/>
      <c r="H220" s="322"/>
      <c r="I220" s="352" t="s">
        <v>103</v>
      </c>
      <c r="J220" s="415">
        <f>M217+G219-J215</f>
        <v>254.5247682101586</v>
      </c>
      <c r="K220" s="620">
        <f>M217+G219</f>
        <v>262.08794939344307</v>
      </c>
      <c r="L220" s="777" t="s">
        <v>52</v>
      </c>
      <c r="M220" s="777">
        <f>Calculadora!B10+20</f>
        <v>160.0</v>
      </c>
      <c r="O220" s="768"/>
      <c r="P220" s="778">
        <f>Calculadora!$B$2</f>
        <v>0.95</v>
      </c>
      <c r="Q220" s="779">
        <f>Q216*(P220-P217)*(P220-P218)*(P220-P219)/((P216-P217)*(P216-P218)*(P216-P219))+Q217*(P220-P216)*(P220-P218)*(P220-P219)/((P217-P216)*(P217-P218)*(P217-P219))+Q218*(P220-P216)*(P220-P217)*(P220-P219)/((P218-P216)*(P218-P217)*(P218-P219))+Q219*(P220-P216)*(P220-P217)*(P220-P218)/((P219-P216)*(P219-P217)*(P219-P218))</f>
        <v>0.41234590150392514</v>
      </c>
      <c r="T220" s="763" t="s">
        <v>77</v>
      </c>
      <c r="U220" s="764">
        <v>176.0</v>
      </c>
      <c r="V220" s="764">
        <v>180.0</v>
      </c>
      <c r="W220" s="764">
        <v>186.0</v>
      </c>
    </row>
    <row r="221" spans="8:8" customHeight="1">
      <c r="A221" s="672"/>
      <c r="B221" s="672"/>
      <c r="C221" s="672"/>
      <c r="D221" s="636"/>
      <c r="E221" s="636"/>
      <c r="F221" s="578"/>
      <c r="G221" s="578"/>
      <c r="H221" s="322"/>
      <c r="I221" s="388" t="s">
        <v>104</v>
      </c>
      <c r="J221" s="423">
        <f>M217+G219+J216</f>
        <v>271.889214804434</v>
      </c>
      <c r="K221" s="322"/>
      <c r="L221" s="322"/>
      <c r="O221" s="768" t="s">
        <v>13</v>
      </c>
      <c r="P221" s="769">
        <v>-0.01</v>
      </c>
      <c r="Q221" s="770">
        <v>0.45</v>
      </c>
      <c r="T221" s="611">
        <v>1.0</v>
      </c>
      <c r="U221" s="765">
        <v>1.4355</v>
      </c>
      <c r="V221" s="765">
        <v>1.465</v>
      </c>
      <c r="W221" s="765">
        <v>1.481</v>
      </c>
    </row>
    <row r="222" spans="8:8" customHeight="1">
      <c r="A222" s="672"/>
      <c r="B222" s="672"/>
      <c r="C222" s="672"/>
      <c r="D222" s="636"/>
      <c r="E222" s="636"/>
      <c r="F222" s="322"/>
      <c r="G222" s="322"/>
      <c r="H222" s="322"/>
      <c r="I222" s="322"/>
      <c r="J222" s="322"/>
      <c r="K222" s="322"/>
      <c r="L222" s="322"/>
      <c r="O222" s="768"/>
      <c r="P222" s="771">
        <v>-5.0</v>
      </c>
      <c r="Q222" s="772">
        <v>0.44</v>
      </c>
      <c r="T222" s="611">
        <v>0.95</v>
      </c>
      <c r="U222" s="384">
        <v>1.2559</v>
      </c>
      <c r="V222" s="384">
        <v>1.2825</v>
      </c>
      <c r="W222" s="384">
        <v>1.2922</v>
      </c>
    </row>
    <row r="223" spans="8:8" customHeight="1">
      <c r="A223" s="672"/>
      <c r="B223" s="672"/>
      <c r="C223" s="672"/>
      <c r="D223" s="636"/>
      <c r="E223" s="637" t="s">
        <v>95</v>
      </c>
      <c r="F223" s="584" t="s">
        <v>96</v>
      </c>
      <c r="G223" s="584" t="s">
        <v>77</v>
      </c>
      <c r="I223" s="322"/>
      <c r="J223" s="584" t="s">
        <v>14</v>
      </c>
      <c r="K223" s="584" t="s">
        <v>78</v>
      </c>
      <c r="L223" s="584" t="s">
        <v>15</v>
      </c>
      <c r="O223" s="768"/>
      <c r="P223" s="771">
        <v>-10.0</v>
      </c>
      <c r="Q223" s="772">
        <v>0.43</v>
      </c>
      <c r="T223" s="611">
        <v>0.9</v>
      </c>
      <c r="U223" s="384">
        <v>1.0937</v>
      </c>
      <c r="V223" s="384">
        <v>1.119</v>
      </c>
      <c r="W223" s="384">
        <v>1.129</v>
      </c>
    </row>
    <row r="224" spans="8:8" customHeight="1">
      <c r="A224" s="672"/>
      <c r="B224" s="672"/>
      <c r="C224" s="672"/>
      <c r="D224" s="637" t="s">
        <v>101</v>
      </c>
      <c r="E224" s="638" t="e">
        <f>INDEX(Caliper!U291:U363,(ROUNDUP(((F224-80)/(20/72))+1,0)),1)</f>
        <v>#REF!</v>
      </c>
      <c r="F224" s="446">
        <f>100*(J220-B213)*(J220-B214)*(J220-B215)*(J220-B216)/((B212-B213)*(B212-B214)*(B212-B215)*(B212-B216))+95*(J220-B212)*(J220-B214)*(J220-B215)*(J220-B216)/((B213-B212)*(B213-B214)*(B213-B215)*(B213-B216))+90*(J220-B212)*(J220-B213)*(J220-B215)*(J220-B216)/((B214-B212)*(B214-B213)*(B214-B215)*(B214-B216))+85*(J220-B212)*(J220-B213)*(J220-B214)*(J220-B216)/((B215-B212)*(B215-B213)*(B215-B214)*(B215-B216))+80*(J220-B212)*(J220-B213)*(J220-B214)*(J220-B215)/((B216-B212)*(B216-B213)*(B216-B214)*(B216-B215))</f>
        <v>151.94185511787146</v>
      </c>
      <c r="G224" s="446">
        <f>G214+H214</f>
        <v>12.6507038464915</v>
      </c>
      <c r="I224" s="584" t="s">
        <v>7</v>
      </c>
      <c r="J224" s="355">
        <f>R213</f>
        <v>3.5</v>
      </c>
      <c r="K224" s="584">
        <v>1.009</v>
      </c>
      <c r="L224" s="355">
        <f>Q220</f>
        <v>0.41234590150392514</v>
      </c>
      <c r="O224" s="768"/>
      <c r="P224" s="776">
        <v>-15.0</v>
      </c>
      <c r="Q224" s="772">
        <v>0.42</v>
      </c>
      <c r="T224" s="611">
        <v>0.85</v>
      </c>
      <c r="U224" s="384">
        <v>0.9499</v>
      </c>
      <c r="V224" s="384">
        <v>0.9731</v>
      </c>
      <c r="W224" s="384">
        <v>0.9877</v>
      </c>
    </row>
    <row r="225" spans="8:8" customHeight="1">
      <c r="A225" s="672"/>
      <c r="B225" s="672"/>
      <c r="C225" s="672"/>
      <c r="D225" s="637" t="s">
        <v>102</v>
      </c>
      <c r="E225" s="638" t="e">
        <f>INDEX(Caliper!U291:U363,(ROUNDUP(((F225-80)/(20/72))+1,0)),1)</f>
        <v>#REF!</v>
      </c>
      <c r="F225" s="446">
        <f>100*(J221-B213)*(J221-B214)*(J221-B215)*(J221-B216)/((B212-B213)*(B212-B214)*(B212-B215)*(B212-B216))+95*(J221-B212)*(J221-B214)*(J221-B215)*(J221-B216)/((B213-B212)*(B213-B214)*(B213-B215)*(B213-B216))+90*(J221-B212)*(J221-B213)*(J221-B215)*(J221-B216)/((B214-B212)*(B214-B213)*(B214-B215)*(B214-B216))+85*(J221-B212)*(J221-B213)*(J221-B214)*(J221-B216)/((B215-B212)*(B215-B213)*(B215-B214)*(B215-B216))+80*(J221-B212)*(J221-B213)*(J221-B214)*(J221-B215)/((B216-B212)*(B216-B213)*(B216-B214)*(B216-B215))</f>
        <v>185.10119505189869</v>
      </c>
      <c r="G225" s="446">
        <f>G215+H215</f>
        <v>14.2376830463462</v>
      </c>
      <c r="I225" s="584" t="s">
        <v>13</v>
      </c>
      <c r="J225" s="355">
        <f>R214</f>
        <v>1.8242993584570009</v>
      </c>
      <c r="K225" s="584">
        <v>1.011</v>
      </c>
      <c r="L225" s="355">
        <f>Q225</f>
        <v>0.45192781340125504</v>
      </c>
      <c r="O225" s="768"/>
      <c r="P225" s="778">
        <f>Calculadora!$B$2</f>
        <v>0.95</v>
      </c>
      <c r="Q225" s="779">
        <f>Q221*(P225-P222)*(P225-P223)*(P225-P224)/((P221-P222)*(P221-P223)*(P221-P224))+Q222*(P225-P221)*(P225-P223)*(P225-P224)/((P222-P221)*(P222-P223)*(P222-P224))+Q223*(P225-P221)*(P225-P222)*(P225-P224)/((P223-P221)*(P223-P222)*(P223-P224))+Q224*(P225-P221)*(P225-P222)*(P225-P223)/((P224-P221)*(P224-P222)*(P224-P223))</f>
        <v>0.45192781340125504</v>
      </c>
      <c r="T225" s="611">
        <v>0.8</v>
      </c>
      <c r="U225" s="773">
        <v>0.8244</v>
      </c>
      <c r="V225" s="773">
        <v>0.846</v>
      </c>
      <c r="W225" s="773">
        <v>0.869</v>
      </c>
    </row>
    <row r="226" spans="8:8" customHeight="1">
      <c r="A226" s="322"/>
      <c r="B226" s="322"/>
      <c r="C226" s="322"/>
      <c r="D226" s="322"/>
      <c r="E226" s="322"/>
      <c r="F226" s="322"/>
      <c r="G226" s="322"/>
      <c r="H226" s="322"/>
      <c r="I226" s="322"/>
      <c r="J226" s="322"/>
      <c r="K226" s="322"/>
      <c r="L226" s="322"/>
      <c r="M226" s="322"/>
      <c r="N226" s="322"/>
    </row>
    <row r="227" spans="8:8" ht="13.5" customHeight="1">
      <c r="A227" s="597"/>
      <c r="B227" s="598"/>
      <c r="C227" s="598"/>
      <c r="D227" s="598"/>
      <c r="E227" s="598"/>
      <c r="F227" s="598"/>
      <c r="G227" s="598"/>
      <c r="H227" s="598"/>
      <c r="I227" s="598"/>
      <c r="J227" s="598"/>
      <c r="K227" s="598"/>
      <c r="L227" s="598"/>
      <c r="M227" s="598"/>
      <c r="N227" s="598"/>
      <c r="O227" s="598"/>
      <c r="P227" s="598"/>
      <c r="Q227" s="598"/>
      <c r="R227" s="598"/>
      <c r="S227" s="598"/>
      <c r="T227" s="598"/>
      <c r="U227" s="598"/>
      <c r="V227" s="598"/>
      <c r="W227" s="598"/>
      <c r="X227" s="598"/>
      <c r="Y227" s="599"/>
    </row>
    <row r="228" spans="8:8" ht="13.5" customHeight="1">
      <c r="A228" s="636"/>
      <c r="B228" s="636"/>
      <c r="C228" s="636"/>
      <c r="D228" s="651"/>
      <c r="E228" s="781"/>
      <c r="F228" s="651"/>
      <c r="G228" s="651"/>
      <c r="H228" s="651"/>
      <c r="I228" s="651"/>
      <c r="J228" s="651"/>
      <c r="K228" s="324" t="s">
        <v>111</v>
      </c>
      <c r="L228" s="651"/>
      <c r="M228" s="651"/>
      <c r="N228" s="651"/>
      <c r="O228" s="651"/>
      <c r="P228" s="651"/>
      <c r="Q228" s="651"/>
      <c r="R228" s="651"/>
      <c r="S228" s="646"/>
      <c r="T228" s="646"/>
      <c r="U228" s="646"/>
      <c r="V228" s="646"/>
      <c r="W228" s="651"/>
      <c r="X228" s="651"/>
      <c r="Y228" s="651"/>
    </row>
    <row r="229" spans="8:8" customHeight="1">
      <c r="A229" s="639" t="s">
        <v>23</v>
      </c>
      <c r="B229" s="605" t="s">
        <v>86</v>
      </c>
      <c r="C229" s="605" t="s">
        <v>77</v>
      </c>
      <c r="F229" s="584" t="s">
        <v>77</v>
      </c>
      <c r="G229" s="322"/>
      <c r="H229" s="322"/>
      <c r="I229" s="584" t="s">
        <v>93</v>
      </c>
      <c r="J229" s="621"/>
      <c r="K229" s="291">
        <f>C230*(M235-B231)*(M235-B232)/((B230-B231)*(B230-B232))+C231*(M235-B230)*(M235-B232)/((B231-B230)*(B231-B232))+C232*(M235-B230)*(M235-B231)/((B232-B230)*(B232-B231))</f>
        <v>1.3257394987634994</v>
      </c>
      <c r="L229" s="584" t="s">
        <v>77</v>
      </c>
      <c r="M229" s="585">
        <f>IF(M235&gt;B232,K229,K232)</f>
        <v>1.325155609590654</v>
      </c>
      <c r="N229" s="651"/>
      <c r="O229" s="768" t="s">
        <v>257</v>
      </c>
      <c r="P229" s="769">
        <v>-0.01</v>
      </c>
      <c r="Q229" s="770">
        <v>2.75</v>
      </c>
      <c r="S229" s="651"/>
      <c r="T229" s="651"/>
      <c r="U229" s="651"/>
      <c r="V229" s="651"/>
      <c r="W229" s="651"/>
      <c r="X229" s="651"/>
      <c r="Y229" s="651"/>
    </row>
    <row r="230" spans="8:8" customHeight="1">
      <c r="A230" s="608">
        <v>1.0</v>
      </c>
      <c r="B230" s="337">
        <v>307.35</v>
      </c>
      <c r="C230" s="337">
        <v>1.468</v>
      </c>
      <c r="F230" s="352" t="s">
        <v>87</v>
      </c>
      <c r="G230" s="353">
        <f>M229*$AA$1*Calculadora!$B$3</f>
        <v>5.731721248007858</v>
      </c>
      <c r="H230" s="322"/>
      <c r="I230" s="352"/>
      <c r="J230" s="354"/>
      <c r="L230" s="448" t="s">
        <v>7</v>
      </c>
      <c r="M230" s="761">
        <f>1.84*POWER(1.00138,(B230-M235))</f>
        <v>1.9590720453444328</v>
      </c>
      <c r="N230" s="651"/>
      <c r="O230" s="768"/>
      <c r="P230" s="771">
        <v>-7.0</v>
      </c>
      <c r="Q230" s="772">
        <v>2.5</v>
      </c>
      <c r="S230" s="651"/>
      <c r="T230" s="651"/>
      <c r="U230" s="651"/>
      <c r="V230" s="651"/>
      <c r="W230" s="651"/>
      <c r="X230" s="651"/>
      <c r="Y230" s="651"/>
    </row>
    <row r="231" spans="8:8" customHeight="1">
      <c r="A231" s="611">
        <v>0.95</v>
      </c>
      <c r="B231" s="359">
        <v>295.63</v>
      </c>
      <c r="C231" s="359">
        <v>1.4203</v>
      </c>
      <c r="F231" s="366" t="s">
        <v>88</v>
      </c>
      <c r="G231" s="367">
        <f>IF(G237&gt;0,G230*M232,G230*M233)</f>
        <v>5.702089547659956</v>
      </c>
      <c r="H231" s="322"/>
      <c r="I231" s="366" t="s">
        <v>94</v>
      </c>
      <c r="J231" s="368">
        <f>M229*Calculadora!$B$3*$AA$2</f>
        <v>3.3238992577806394</v>
      </c>
      <c r="K231" s="369" t="s">
        <v>112</v>
      </c>
      <c r="L231" s="448" t="s">
        <v>8</v>
      </c>
      <c r="M231" s="761">
        <f>U243*POWER(1.002,(B230-M235))</f>
        <v>1.4868903413357992</v>
      </c>
      <c r="N231" s="651"/>
      <c r="O231" s="768"/>
      <c r="P231" s="771">
        <v>-33.0</v>
      </c>
      <c r="Q231" s="772">
        <v>2.75</v>
      </c>
      <c r="S231" s="651"/>
      <c r="T231" s="651"/>
      <c r="U231" s="651"/>
      <c r="V231" s="651"/>
      <c r="W231" s="651"/>
      <c r="X231" s="651"/>
      <c r="Y231" s="651"/>
    </row>
    <row r="232" spans="8:8" customHeight="1">
      <c r="A232" s="611">
        <v>0.9</v>
      </c>
      <c r="B232" s="365">
        <v>283.5</v>
      </c>
      <c r="C232" s="365">
        <v>1.379</v>
      </c>
      <c r="F232" s="366" t="s">
        <v>89</v>
      </c>
      <c r="G232" s="367">
        <f>G231*J235</f>
        <v>5.702089547659956</v>
      </c>
      <c r="H232" s="593">
        <f>(G232/(Calculadora!$B$3*$AA$1))*Calculadora!$B$5/6</f>
        <v>0.0</v>
      </c>
      <c r="I232" s="366"/>
      <c r="J232" s="368"/>
      <c r="K232" s="291">
        <f>C232*(M235-B233)*(M235-B234)/((B232-B233)*(B232-B234))+C233*(M235-B232)*(M235-B234)/((B233-B232)*(B233-B234))+C234*(M235-B232)*(M235-B233)/((B234-B232)*(B234-B233))</f>
        <v>1.325155609590654</v>
      </c>
      <c r="L232" s="448" t="s">
        <v>9</v>
      </c>
      <c r="M232" s="761">
        <f>IF((M235&gt;0),((100+(G237/-3.6))/100))</f>
        <v>0.9948302265470077</v>
      </c>
      <c r="N232" s="646"/>
      <c r="O232" s="768"/>
      <c r="P232" s="776">
        <v>-43.0</v>
      </c>
      <c r="Q232" s="772">
        <v>3.0</v>
      </c>
      <c r="S232" s="651"/>
      <c r="T232" s="651"/>
      <c r="U232" s="651"/>
      <c r="V232" s="651"/>
      <c r="W232" s="651"/>
      <c r="X232" s="651"/>
      <c r="Y232" s="651"/>
      <c r="Z232" s="322"/>
      <c r="AA232" s="322"/>
      <c r="AB232" s="322"/>
      <c r="AC232" s="322"/>
      <c r="AD232" s="322"/>
    </row>
    <row r="233" spans="8:8" customHeight="1">
      <c r="A233" s="611">
        <v>0.85</v>
      </c>
      <c r="B233" s="359">
        <v>270.92</v>
      </c>
      <c r="C233" s="359">
        <v>1.3445</v>
      </c>
      <c r="F233" s="388" t="s">
        <v>90</v>
      </c>
      <c r="G233" s="389">
        <f>G231/J236</f>
        <v>5.702089547659956</v>
      </c>
      <c r="H233" s="593">
        <f>(G233/(Calculadora!$B$3*$AA$1))*Calculadora!$B$5/6</f>
        <v>0.0</v>
      </c>
      <c r="I233" s="366" t="s">
        <v>97</v>
      </c>
      <c r="J233" s="368">
        <f>J231*1*1</f>
        <v>3.3238992577806394</v>
      </c>
      <c r="K233" s="651"/>
      <c r="L233" s="448" t="s">
        <v>10</v>
      </c>
      <c r="M233" s="761">
        <f>IF((M235&gt;0),((100+(G237/-Q233))/100))</f>
        <v>0.9933544501202306</v>
      </c>
      <c r="N233" s="646"/>
      <c r="O233" s="768"/>
      <c r="P233" s="778">
        <f>Calculadora!$B$2</f>
        <v>0.95</v>
      </c>
      <c r="Q233" s="782">
        <f>Q229*(P233-P230)*(P233-P231)*(P233-P232)/((P229-P230)*(P229-P231)*(P229-P232))+Q230*(P233-P229)*(P233-P231)*(P233-P232)/((P230-P229)*(P230-P231)*(P230-P232))+Q231*(P233-P229)*(P233-P230)*(P233-P232)/((P231-P229)*(P231-P230)*(P231-P232))+Q232*(P233-P229)*(P233-P230)*(P233-P231)/((P232-P229)*(P232-P230)*(P232-P231))</f>
        <v>2.8005484523453275</v>
      </c>
      <c r="S233" s="651"/>
      <c r="T233" s="651"/>
      <c r="U233" s="651"/>
      <c r="V233" s="651"/>
      <c r="W233" s="651"/>
      <c r="X233" s="651"/>
      <c r="Y233" s="651"/>
      <c r="Z233" s="322"/>
      <c r="AA233" s="322"/>
      <c r="AB233" s="322"/>
      <c r="AC233" s="322"/>
      <c r="AD233" s="322"/>
    </row>
    <row r="234" spans="8:8" customHeight="1">
      <c r="A234" s="611">
        <v>0.8</v>
      </c>
      <c r="B234" s="395">
        <v>257.85</v>
      </c>
      <c r="C234" s="395">
        <v>1.318</v>
      </c>
      <c r="F234" s="322"/>
      <c r="G234" s="322"/>
      <c r="H234" s="322"/>
      <c r="I234" s="366" t="s">
        <v>98</v>
      </c>
      <c r="J234" s="368">
        <f>J231*1*1</f>
        <v>3.3238992577806394</v>
      </c>
      <c r="K234" s="651"/>
      <c r="L234" s="448" t="s">
        <v>256</v>
      </c>
      <c r="M234" s="448">
        <f>M229/6*Calculadora!$B$5</f>
        <v>0.0</v>
      </c>
      <c r="N234" s="646"/>
      <c r="O234" s="646"/>
      <c r="S234" s="651"/>
      <c r="T234" s="651"/>
      <c r="U234" s="651"/>
      <c r="V234" s="651"/>
      <c r="W234" s="651"/>
      <c r="X234" s="651"/>
      <c r="Y234" s="651"/>
      <c r="Z234" s="322"/>
      <c r="AA234" s="322"/>
      <c r="AB234" s="322"/>
      <c r="AC234" s="322"/>
      <c r="AD234" s="322"/>
    </row>
    <row r="235" spans="8:8" customHeight="1">
      <c r="A235" s="322"/>
      <c r="B235" s="322"/>
      <c r="C235" s="322"/>
      <c r="D235" s="651"/>
      <c r="E235" s="781"/>
      <c r="F235" s="338" t="s">
        <v>91</v>
      </c>
      <c r="G235" s="322"/>
      <c r="H235" s="322"/>
      <c r="I235" s="366" t="s">
        <v>99</v>
      </c>
      <c r="J235" s="368">
        <v>1.0</v>
      </c>
      <c r="K235" s="651"/>
      <c r="L235" s="448" t="s">
        <v>258</v>
      </c>
      <c r="M235" s="448">
        <f>Calculadora!$B$1</f>
        <v>261.88</v>
      </c>
      <c r="N235" s="646"/>
      <c r="O235" s="646"/>
      <c r="P235" s="651"/>
      <c r="T235" s="646"/>
      <c r="U235" s="646"/>
      <c r="V235" s="646"/>
      <c r="W235" s="651"/>
      <c r="X235" s="651"/>
      <c r="Y235" s="651"/>
      <c r="Z235" s="322"/>
      <c r="AA235" s="322"/>
      <c r="AB235" s="322"/>
      <c r="AC235" s="322"/>
      <c r="AD235" s="322"/>
    </row>
    <row r="236" spans="8:8" customHeight="1">
      <c r="A236" s="322"/>
      <c r="B236" s="322"/>
      <c r="C236" s="322"/>
      <c r="D236" s="651"/>
      <c r="E236" s="781"/>
      <c r="F236" s="352"/>
      <c r="G236" s="354"/>
      <c r="H236" s="322"/>
      <c r="I236" s="388" t="s">
        <v>100</v>
      </c>
      <c r="J236" s="402">
        <v>1.0</v>
      </c>
      <c r="K236" s="651"/>
      <c r="L236" s="651"/>
      <c r="M236" s="651"/>
      <c r="N236" s="322"/>
      <c r="O236" s="322"/>
      <c r="P236" s="651"/>
      <c r="T236" s="646"/>
      <c r="U236" s="646"/>
      <c r="V236" s="646"/>
      <c r="W236" s="651"/>
      <c r="X236" s="651"/>
      <c r="Y236" s="651"/>
      <c r="Z236" s="322"/>
      <c r="AA236" s="322"/>
      <c r="AB236" s="322"/>
      <c r="AC236" s="322"/>
      <c r="AD236" s="322"/>
    </row>
    <row r="237" spans="8:8" ht="13.5" customHeight="1">
      <c r="A237" s="322"/>
      <c r="B237" s="322"/>
      <c r="C237" s="322"/>
      <c r="D237" s="651"/>
      <c r="E237" s="781"/>
      <c r="F237" s="366" t="s">
        <v>92</v>
      </c>
      <c r="G237" s="368">
        <f>IF(Calculadora!$B$2&gt;0,Calculadora!$B$2*M230,Calculadora!$B$2*M231)</f>
        <v>1.861118443077211</v>
      </c>
      <c r="H237" s="322"/>
      <c r="I237" s="621"/>
      <c r="J237" s="621"/>
      <c r="K237" s="651"/>
      <c r="L237" s="651"/>
      <c r="M237" s="651"/>
      <c r="N237" s="322"/>
      <c r="O237" s="412" t="s">
        <v>13</v>
      </c>
      <c r="P237" s="413">
        <v>-0.01</v>
      </c>
      <c r="Q237" s="414">
        <v>1.346</v>
      </c>
      <c r="S237" s="412" t="s">
        <v>13</v>
      </c>
      <c r="T237" s="413">
        <v>-20.0</v>
      </c>
      <c r="U237" s="414">
        <v>1.161</v>
      </c>
      <c r="V237" s="646"/>
      <c r="W237" s="651"/>
      <c r="X237" s="651"/>
      <c r="Y237" s="651"/>
      <c r="Z237" s="322"/>
      <c r="AA237" s="322"/>
      <c r="AB237" s="322"/>
      <c r="AC237" s="322"/>
      <c r="AD237" s="322"/>
    </row>
    <row r="238" spans="8:8" customHeight="1">
      <c r="A238" s="322"/>
      <c r="B238" s="322"/>
      <c r="C238" s="322"/>
      <c r="D238" s="651"/>
      <c r="E238" s="781"/>
      <c r="F238" s="388"/>
      <c r="G238" s="402"/>
      <c r="H238" s="322"/>
      <c r="I238" s="352" t="s">
        <v>103</v>
      </c>
      <c r="J238" s="415">
        <f>M235+G237-J233</f>
        <v>260.4172191852964</v>
      </c>
      <c r="K238" s="783"/>
      <c r="L238" s="322"/>
      <c r="M238" s="322"/>
      <c r="N238" s="322"/>
      <c r="O238" s="412" t="s">
        <v>13</v>
      </c>
      <c r="P238" s="413">
        <v>-5.0</v>
      </c>
      <c r="Q238" s="414">
        <v>1.285</v>
      </c>
      <c r="S238" s="412" t="s">
        <v>13</v>
      </c>
      <c r="T238" s="413">
        <v>-25.0</v>
      </c>
      <c r="U238" s="414">
        <v>1.145</v>
      </c>
      <c r="W238" s="651"/>
      <c r="X238" s="651"/>
      <c r="Y238" s="651"/>
      <c r="Z238" s="322"/>
      <c r="AA238" s="322"/>
      <c r="AB238" s="322"/>
      <c r="AC238" s="322"/>
      <c r="AD238" s="322"/>
    </row>
    <row r="239" spans="8:8" customHeight="1">
      <c r="A239" s="322"/>
      <c r="B239" s="322"/>
      <c r="C239" s="322"/>
      <c r="D239" s="651"/>
      <c r="E239" s="781"/>
      <c r="F239" s="621"/>
      <c r="G239" s="621"/>
      <c r="H239" s="322"/>
      <c r="I239" s="388" t="s">
        <v>104</v>
      </c>
      <c r="J239" s="423">
        <f>M235+G237+J234</f>
        <v>267.06501770085765</v>
      </c>
      <c r="K239" s="783"/>
      <c r="L239" s="322"/>
      <c r="M239" s="322"/>
      <c r="N239" s="322"/>
      <c r="O239" s="412" t="s">
        <v>13</v>
      </c>
      <c r="P239" s="413">
        <v>-10.0</v>
      </c>
      <c r="Q239" s="414">
        <v>1.255</v>
      </c>
      <c r="S239" s="412" t="s">
        <v>13</v>
      </c>
      <c r="T239" s="413">
        <v>-30.0</v>
      </c>
      <c r="U239" s="414">
        <v>1.115</v>
      </c>
      <c r="W239" s="651"/>
      <c r="X239" s="651"/>
      <c r="Y239" s="651"/>
      <c r="Z239" s="322"/>
      <c r="AA239" s="322"/>
      <c r="AB239" s="322"/>
      <c r="AC239" s="322"/>
      <c r="AD239" s="322"/>
    </row>
    <row r="240" spans="8:8" customHeight="1">
      <c r="A240" s="322"/>
      <c r="B240" s="322"/>
      <c r="C240" s="322"/>
      <c r="D240" s="651"/>
      <c r="E240" s="781"/>
      <c r="F240" s="651"/>
      <c r="G240" s="651"/>
      <c r="H240" s="651"/>
      <c r="I240" s="651"/>
      <c r="J240" s="651"/>
      <c r="K240" s="784"/>
      <c r="L240" s="322"/>
      <c r="M240" s="322"/>
      <c r="N240" s="322"/>
      <c r="O240" s="412" t="s">
        <v>13</v>
      </c>
      <c r="P240" s="338">
        <v>-15.0</v>
      </c>
      <c r="Q240" s="354">
        <v>1.242</v>
      </c>
      <c r="S240" s="412" t="s">
        <v>13</v>
      </c>
      <c r="T240" s="338">
        <v>-35.0</v>
      </c>
      <c r="U240" s="354">
        <v>1.094</v>
      </c>
      <c r="W240" s="651"/>
      <c r="X240" s="651"/>
      <c r="Y240" s="651"/>
      <c r="Z240" s="322"/>
      <c r="AA240" s="322"/>
      <c r="AB240" s="322"/>
      <c r="AC240" s="322"/>
      <c r="AD240" s="322"/>
    </row>
    <row r="241" spans="8:8" ht="13.5" customHeight="1">
      <c r="A241" s="322"/>
      <c r="B241" s="322"/>
      <c r="C241" s="322"/>
      <c r="E241" s="637" t="s">
        <v>95</v>
      </c>
      <c r="F241" s="584" t="s">
        <v>96</v>
      </c>
      <c r="G241" s="584" t="s">
        <v>77</v>
      </c>
      <c r="H241" s="322"/>
      <c r="I241" s="322"/>
      <c r="J241" s="322"/>
      <c r="K241" s="322"/>
      <c r="L241" s="322"/>
      <c r="M241" s="322"/>
      <c r="N241" s="322"/>
      <c r="O241" s="412" t="s">
        <v>13</v>
      </c>
      <c r="P241" s="413">
        <v>-20.0</v>
      </c>
      <c r="Q241" s="414">
        <v>1.161</v>
      </c>
      <c r="S241" s="412" t="s">
        <v>13</v>
      </c>
      <c r="T241" s="413">
        <v>-43.7</v>
      </c>
      <c r="U241" s="414">
        <v>1.021</v>
      </c>
      <c r="W241" s="651"/>
      <c r="X241" s="651"/>
      <c r="Y241" s="651"/>
      <c r="Z241" s="322"/>
      <c r="AA241" s="322"/>
      <c r="AB241" s="322"/>
      <c r="AC241" s="322"/>
      <c r="AD241" s="322"/>
    </row>
    <row r="242" spans="8:8" ht="13.5" customHeight="1">
      <c r="A242" s="322"/>
      <c r="B242" s="322"/>
      <c r="C242" s="322"/>
      <c r="D242" s="643" t="s">
        <v>101</v>
      </c>
      <c r="E242" s="638">
        <f>INDEX(Caliper!$F$291:$F$363,(ROUNDUP(((F242-80)/(20/72))+1,0)),1)</f>
        <v>244.95555555557297</v>
      </c>
      <c r="F242" s="446">
        <f>100*(J238-B231)*(J238-B232)*(J238-B233)*(J238-B234)/((B230-B231)*(B230-B232)*(B230-B233)*(B230-B234))+95*(J238-B230)*(J238-B232)*(J238-B233)*(J238-B234)/((B231-B230)*(B231-B232)*(B231-B233)*(B231-B234))+90*(J238-B230)*(J238-B231)*(J238-B233)*(J238-B234)/((B232-B230)*(B232-B231)*(B232-B233)*(B232-B234))+85*(J238-B230)*(J238-B231)*(J238-B232)*(J238-B234)/((B233-B230)*(B233-B231)*(B233-B232)*(B233-B234))+80*(J238-B230)*(J238-B231)*(J238-B232)*(J238-B233)/((B234-B230)*(B234-B231)*(B234-B232)*(B234-B233))</f>
        <v>80.9667893791585</v>
      </c>
      <c r="G242" s="446">
        <f>G232+H232</f>
        <v>5.70208954765996</v>
      </c>
      <c r="H242" s="322"/>
      <c r="I242" s="322"/>
      <c r="J242" s="322"/>
      <c r="K242" s="322"/>
      <c r="L242" s="322"/>
      <c r="M242" s="322"/>
      <c r="N242" s="322"/>
      <c r="O242" s="412" t="s">
        <v>16</v>
      </c>
      <c r="P242" s="413">
        <f>Calculadora!$B$2</f>
        <v>0.95</v>
      </c>
      <c r="Q242" s="456">
        <f>Q237*(P242-P238)*(P242-P239)*(P242-P240)*(P242-P241)/((P237-P238)*(P237-P239)*(P237-P240)*(P237-P241))+Q238*(P242-P237)*(P242-P239)*(P242-P240)*(P242-P241)/((P238-P237)*(P238-P239)*(P238-P240)*(P238-P241))+Q239*(P242-P237)*(P242-P238)*(P242-P240)*(P242-P241)/((P239-P237)*(P239-P238)*(P239-P240)*(P239-P241))+Q240*(P242-P237)*(P242-P238)*(P242-P239)*(P242-P241)/((P240-P237)*(P240-P238)*(P240-P239)*(P240-P241))+Q241*(P242-P237)*(P242-P238)*(P242-P239)*(P242-P240)/((P241-P237)*(P241-P238)*(P241-P239)*(P241-P240))</f>
        <v>1.3577619765694846</v>
      </c>
      <c r="S242" s="412" t="s">
        <v>16</v>
      </c>
      <c r="T242" s="413">
        <f>Calculadora!$B$2</f>
        <v>0.95</v>
      </c>
      <c r="U242" s="785">
        <f>U237*(T242-T238)*(T242-T239)*(T242-T240)*(T242-T241)/((T237-T238)*(T237-T239)*(T237-T240)*(T237-T241))+U238*(T242-T237)*(T242-T239)*(T242-T240)*(T242-T241)/((T238-T237)*(T238-T239)*(T238-T240)*(T238-T241))+U239*(T242-T237)*(T242-T238)*(T242-T240)*(T242-T241)/((T239-T237)*(T239-T238)*(T239-T240)*(T239-T241))+U240*(T242-T237)*(T242-T238)*(T242-T239)*(T242-T241)/((T240-T237)*(T240-T238)*(T240-T239)*(T240-T241))+U241*(T242-T237)*(T242-T238)*(T242-T239)*(T242-T240)/((T241-T237)*(T241-T238)*(T241-T239)*(T241-T240))</f>
        <v>-0.8860756522967996</v>
      </c>
      <c r="W242" s="651"/>
      <c r="X242" s="651"/>
      <c r="Y242" s="651"/>
      <c r="Z242" s="322"/>
      <c r="AA242" s="322"/>
      <c r="AB242" s="322"/>
      <c r="AC242" s="322"/>
      <c r="AD242" s="322"/>
    </row>
    <row r="243" spans="8:8" customHeight="1">
      <c r="A243" s="322"/>
      <c r="B243" s="322"/>
      <c r="C243" s="322"/>
      <c r="D243" s="643" t="s">
        <v>102</v>
      </c>
      <c r="E243" s="638">
        <f>INDEX(Caliper!$F$291:$F$363,(ROUNDUP(((F243-80)/(20/72))+1,0)),1)</f>
        <v>252.50555555557358</v>
      </c>
      <c r="F243" s="446">
        <f>100*(J239-B231)*(J239-B232)*(J239-B233)*(J239-B234)/((B230-B231)*(B230-B232)*(B230-B233)*(B230-B234))+95*(J239-B230)*(J239-B232)*(J239-B233)*(J239-B234)/((B231-B230)*(B231-B232)*(B231-B233)*(B231-B234))+90*(J239-B230)*(J239-B231)*(J239-B233)*(J239-B234)/((B232-B230)*(B232-B231)*(B232-B233)*(B232-B234))+85*(J239-B230)*(J239-B231)*(J239-B232)*(J239-B234)/((B233-B230)*(B233-B231)*(B233-B232)*(B233-B234))+80*(J239-B230)*(J239-B231)*(J239-B232)*(J239-B233)/((B234-B230)*(B234-B231)*(B234-B232)*(B234-B233))</f>
        <v>83.50493046367696</v>
      </c>
      <c r="G243" s="446">
        <f>G233+H233</f>
        <v>5.70208954765996</v>
      </c>
      <c r="H243" s="322"/>
      <c r="I243" s="322"/>
      <c r="J243" s="322"/>
      <c r="K243" s="322"/>
      <c r="L243" s="322"/>
      <c r="M243" s="322"/>
      <c r="N243" s="322"/>
      <c r="T243" s="786" t="s">
        <v>85</v>
      </c>
      <c r="U243" s="787">
        <f>IF(Calculadora!B2&lt;-20,U242,Q242)</f>
        <v>1.3577619765694846</v>
      </c>
      <c r="Z243" s="322"/>
      <c r="AA243" s="322"/>
      <c r="AB243" s="322"/>
      <c r="AC243" s="322"/>
      <c r="AD243" s="322"/>
    </row>
    <row r="244" spans="8:8" customHeight="1">
      <c r="X244" s="322"/>
      <c r="Y244" s="322"/>
      <c r="Z244" s="322"/>
      <c r="AA244" s="322"/>
      <c r="AB244" s="322"/>
      <c r="AC244" s="322"/>
      <c r="AD244" s="322"/>
    </row>
    <row r="245" spans="8:8" customHeight="1">
      <c r="A245" s="597"/>
      <c r="B245" s="598"/>
      <c r="C245" s="598"/>
      <c r="D245" s="598"/>
      <c r="E245" s="598"/>
      <c r="F245" s="598"/>
      <c r="G245" s="598"/>
      <c r="H245" s="598"/>
      <c r="I245" s="598"/>
      <c r="J245" s="598"/>
      <c r="K245" s="598"/>
      <c r="L245" s="598"/>
      <c r="M245" s="598"/>
      <c r="N245" s="598"/>
      <c r="O245" s="598"/>
      <c r="P245" s="598"/>
      <c r="Q245" s="598"/>
      <c r="R245" s="598"/>
      <c r="S245" s="598"/>
      <c r="T245" s="598"/>
      <c r="U245" s="598"/>
      <c r="V245" s="598"/>
      <c r="W245" s="598"/>
      <c r="X245" s="598"/>
      <c r="Y245" s="599"/>
      <c r="Z245" s="322"/>
      <c r="AA245" s="322"/>
      <c r="AB245" s="322"/>
      <c r="AC245" s="322"/>
      <c r="AD245" s="322"/>
    </row>
    <row r="246" spans="8:8" customHeight="1">
      <c r="X246" s="322"/>
      <c r="Y246" s="322"/>
      <c r="Z246" s="322"/>
      <c r="AA246" s="322"/>
      <c r="AB246" s="322"/>
      <c r="AC246" s="322"/>
      <c r="AD246" s="322"/>
    </row>
    <row r="247" spans="8:8" customHeight="1">
      <c r="A247" s="788" t="s">
        <v>120</v>
      </c>
      <c r="B247" s="789">
        <v>1.0</v>
      </c>
      <c r="C247" s="790">
        <v>0.975</v>
      </c>
      <c r="D247" s="789">
        <v>0.95</v>
      </c>
      <c r="E247" s="790">
        <v>0.925</v>
      </c>
      <c r="F247" s="791" t="s">
        <v>77</v>
      </c>
      <c r="G247" s="322"/>
      <c r="H247" s="322"/>
      <c r="I247" s="792" t="s">
        <v>93</v>
      </c>
      <c r="J247" s="578"/>
      <c r="K247" s="323" t="e">
        <f>B249*(M253-C248)*(M253-D248)*(M253-E248)*(M253-B251)/((B248-C248)*(B248-D248)*(B248-E248)*(B248-B251))+C249*(M253-B248)*(M253-D248)*(M253-E248)*(M253-B251)/((C248-B248)*(C248-D248)*(C248-E248)*(C248-B251))+D249*(M253-B248)*(M253-C248)*(M253-E248)*(M253-B251)/((D248-B248)*(D248-C248)*(D248-E248)*(D248-B251))+E249*(M253-B248)*(M253-C248)*(M253-D248)*(M253-B251)/((E248-B248)*(E248-C248)*(E248-D248)*(E248-B251))+B252*(M253-B248)*(M253-C248)*(M253-D248)*(M253-E248)/((B251-B248)*(B251-C248)*(B251-D248)*(B251-E248))</f>
        <v>#DIV/0!</v>
      </c>
      <c r="L247" s="581" t="s">
        <v>77</v>
      </c>
      <c r="M247" s="581" t="e">
        <f>K247</f>
        <v>#DIV/0!</v>
      </c>
      <c r="N247" s="322"/>
      <c r="O247" s="342" t="s">
        <v>14</v>
      </c>
      <c r="T247" s="793" t="s">
        <v>7</v>
      </c>
      <c r="U247" s="793">
        <v>1.0</v>
      </c>
      <c r="V247" s="793">
        <v>0.55</v>
      </c>
      <c r="X247" s="322"/>
      <c r="Y247" s="322"/>
      <c r="Z247" s="322"/>
      <c r="AA247" s="322"/>
      <c r="AB247" s="322"/>
      <c r="AC247" s="322"/>
      <c r="AD247" s="322"/>
    </row>
    <row r="248" spans="8:8" customHeight="1">
      <c r="A248" s="643" t="s">
        <v>114</v>
      </c>
      <c r="B248" s="794"/>
      <c r="C248" s="794"/>
      <c r="D248" s="794"/>
      <c r="E248" s="794"/>
      <c r="F248" s="795" t="s">
        <v>87</v>
      </c>
      <c r="G248" s="796" t="e">
        <f>M247*$AA$1*Calculadora!$B$3</f>
        <v>#DIV/0!</v>
      </c>
      <c r="H248" s="322"/>
      <c r="I248" s="797"/>
      <c r="J248" s="791"/>
      <c r="K248" s="578"/>
      <c r="L248" s="581" t="s">
        <v>7</v>
      </c>
      <c r="M248" s="798" t="e">
        <f>L260*POWER(K260,(B248-M253))</f>
        <v>#NUM!</v>
      </c>
      <c r="N248" s="322"/>
      <c r="O248" s="356">
        <f>B248</f>
        <v>0.0</v>
      </c>
      <c r="P248" s="357">
        <f>C248</f>
        <v>0.0</v>
      </c>
      <c r="Q248" s="356">
        <f>D248</f>
        <v>0.0</v>
      </c>
      <c r="R248" s="358" t="e">
        <f>K256</f>
        <v>#NUM!</v>
      </c>
      <c r="T248" s="793" t="s">
        <v>7</v>
      </c>
      <c r="U248" s="793">
        <v>5.0</v>
      </c>
      <c r="V248" s="793">
        <v>0.555</v>
      </c>
      <c r="X248" s="322"/>
      <c r="Y248" s="322"/>
      <c r="Z248" s="322"/>
      <c r="AA248" s="322"/>
      <c r="AB248" s="322"/>
      <c r="AC248" s="322"/>
      <c r="AD248" s="322"/>
    </row>
    <row r="249" spans="8:8" customHeight="1">
      <c r="A249" s="643" t="s">
        <v>77</v>
      </c>
      <c r="B249" s="799"/>
      <c r="C249" s="800"/>
      <c r="D249" s="799"/>
      <c r="E249" s="799"/>
      <c r="F249" s="578" t="s">
        <v>88</v>
      </c>
      <c r="G249" s="801" t="e">
        <f>IF(G255&gt;0,G248*M250,G248*M251)</f>
        <v>#NUM!</v>
      </c>
      <c r="H249" s="322"/>
      <c r="I249" s="802" t="s">
        <v>94</v>
      </c>
      <c r="J249" s="803" t="e">
        <f>M247*Calculadora!$B$3*$AA$2</f>
        <v>#DIV/0!</v>
      </c>
      <c r="K249" s="578"/>
      <c r="L249" s="581" t="s">
        <v>8</v>
      </c>
      <c r="M249" s="798" t="e">
        <f>L261*POWER(K261,(B248-M253))</f>
        <v>#NUM!</v>
      </c>
      <c r="N249" s="322"/>
      <c r="O249" s="370">
        <v>3.6</v>
      </c>
      <c r="P249" s="371">
        <v>3.4</v>
      </c>
      <c r="Q249" s="357">
        <v>3.3</v>
      </c>
      <c r="R249" s="372" t="e">
        <f>O249*(R248-P248)*(R248-Q248)/((O248-P248)*(O248-Q248))+P249*(R248-O248)*(R248-Q248)/((P248-O248)*(P248-Q248))+Q249*(R248-O248)*(R248-P248)/((Q248-O248)*(Q248-P248))</f>
        <v>#NUM!</v>
      </c>
      <c r="T249" s="793" t="s">
        <v>7</v>
      </c>
      <c r="U249" s="793">
        <v>10.0</v>
      </c>
      <c r="V249" s="793">
        <v>0.56</v>
      </c>
      <c r="X249" s="322"/>
      <c r="Y249" s="322"/>
      <c r="Z249" s="322"/>
      <c r="AA249" s="322"/>
      <c r="AB249" s="322"/>
      <c r="AC249" s="322"/>
      <c r="AD249" s="322"/>
    </row>
    <row r="250" spans="8:8" customHeight="1">
      <c r="A250" s="636"/>
      <c r="B250" s="804">
        <v>0.9</v>
      </c>
      <c r="C250" s="636"/>
      <c r="D250" s="636"/>
      <c r="E250" s="636"/>
      <c r="F250" s="802" t="s">
        <v>89</v>
      </c>
      <c r="G250" s="801" t="e">
        <f>G249*J253</f>
        <v>#NUM!</v>
      </c>
      <c r="H250" s="322"/>
      <c r="I250" s="802"/>
      <c r="J250" s="803"/>
      <c r="K250" s="578"/>
      <c r="L250" s="581" t="s">
        <v>9</v>
      </c>
      <c r="M250" s="798" t="e">
        <f>IF((M253&gt;0),((100+(G255/-J260))/100))</f>
        <v>#NUM!</v>
      </c>
      <c r="N250" s="322"/>
      <c r="O250" s="380">
        <v>4.1</v>
      </c>
      <c r="P250" s="381">
        <v>3.7</v>
      </c>
      <c r="Q250" s="382">
        <v>3.6</v>
      </c>
      <c r="R250" s="372" t="e">
        <f>O250*(R248-P248)*(R248-Q248)/((O248-P248)*(O248-Q248))+P250*(R248-O248)*(R248-Q248)/((P248-O248)*(P248-Q248))+Q250*(R248-O248)*(R248-P248)/((Q248-O248)*(Q248-P248))</f>
        <v>#NUM!</v>
      </c>
      <c r="T250" s="793" t="s">
        <v>7</v>
      </c>
      <c r="U250" s="793">
        <v>15.0</v>
      </c>
      <c r="V250" s="793">
        <v>0.565</v>
      </c>
      <c r="X250" s="322"/>
      <c r="Y250" s="322"/>
      <c r="Z250" s="322"/>
      <c r="AA250" s="322"/>
      <c r="AB250" s="322"/>
      <c r="AC250" s="322"/>
      <c r="AD250" s="322"/>
    </row>
    <row r="251" spans="8:8" customHeight="1">
      <c r="A251" s="672"/>
      <c r="B251" s="641"/>
      <c r="C251" s="672"/>
      <c r="D251" s="636"/>
      <c r="E251" s="636"/>
      <c r="F251" s="805" t="s">
        <v>90</v>
      </c>
      <c r="G251" s="806" t="e">
        <f>G249/J254</f>
        <v>#NUM!</v>
      </c>
      <c r="H251" s="322"/>
      <c r="I251" s="802" t="s">
        <v>97</v>
      </c>
      <c r="J251" s="803" t="e">
        <f>$AT$1*Calculadora!$B$3*M247*0.992*(1-(G255*0.016))</f>
        <v>#DIV/0!</v>
      </c>
      <c r="K251" s="578"/>
      <c r="L251" s="581" t="s">
        <v>10</v>
      </c>
      <c r="M251" s="798" t="e">
        <f>IF((M253&gt;0),((100+(G255/-J261))/100))</f>
        <v>#NUM!</v>
      </c>
      <c r="N251" s="322"/>
      <c r="O251" s="322"/>
      <c r="T251" s="793" t="s">
        <v>7</v>
      </c>
      <c r="U251" s="793">
        <v>20.0</v>
      </c>
      <c r="V251" s="793">
        <v>0.57</v>
      </c>
      <c r="X251" s="322"/>
      <c r="Y251" s="322"/>
      <c r="Z251" s="322"/>
      <c r="AA251" s="322"/>
      <c r="AB251" s="322"/>
      <c r="AC251" s="322"/>
      <c r="AD251" s="322"/>
    </row>
    <row r="252" spans="8:8" ht="13.5" customHeight="1">
      <c r="A252" s="672"/>
      <c r="B252" s="807"/>
      <c r="C252" s="672"/>
      <c r="D252" s="636"/>
      <c r="E252" s="636"/>
      <c r="F252" s="322"/>
      <c r="G252" s="322"/>
      <c r="H252" s="322"/>
      <c r="I252" s="802" t="s">
        <v>98</v>
      </c>
      <c r="J252" s="803" t="e">
        <f>$AT$1*Calculadora!$B$3*M247*1.25*(1-(G255*0.016))</f>
        <v>#DIV/0!</v>
      </c>
      <c r="K252" s="578"/>
      <c r="L252" s="581" t="s">
        <v>105</v>
      </c>
      <c r="M252" s="581" t="e">
        <f>M247/4.05*Calculadora!$B$5</f>
        <v>#DIV/0!</v>
      </c>
      <c r="N252" s="322"/>
      <c r="O252" s="322"/>
      <c r="T252" s="793" t="s">
        <v>12</v>
      </c>
      <c r="U252" s="793">
        <f>Calculadora!$B$2</f>
        <v>0.95</v>
      </c>
      <c r="V252" s="808">
        <f>V247*(U252-U248)*(U252-U249)*(U252-U250)*(U252-U251)/((U247-U248)*(U247-U249)*(U247-U250)*(U247-U251))+V248*(U252-U247)*(U252-U249)*(U252-U250)*(U252-U251)/((U248-U247)*(U248-U249)*(U248-U250)*(U248-U251))+V249*(U252-U247)*(U252-U248)*(U252-U250)*(U252-U251)/((U249-U247)*(U249-U248)*(U249-U250)*(U249-U251))+V250*(U252-U247)*(U252-U248)*(U252-U249)*(U252-U251)/((U250-U247)*(U250-U248)*(U250-U249)*(U250-U251))+V251*(U252-U247)*(U252-U248)*(U252-U249)*(U252-U250)/((U251-U247)*(U251-U248)*(U251-U249)*(U251-U250))</f>
        <v>0.5499255499941259</v>
      </c>
      <c r="X252" s="322"/>
      <c r="Y252" s="322"/>
      <c r="Z252" s="322"/>
      <c r="AA252" s="322"/>
      <c r="AB252" s="322"/>
      <c r="AC252" s="322"/>
      <c r="AD252" s="322"/>
    </row>
    <row r="253" spans="8:8" ht="13.5" customHeight="1">
      <c r="A253" s="672"/>
      <c r="B253" s="672"/>
      <c r="C253" s="672"/>
      <c r="D253" s="636"/>
      <c r="E253" s="636"/>
      <c r="F253" s="792" t="s">
        <v>91</v>
      </c>
      <c r="G253" s="322"/>
      <c r="H253" s="322"/>
      <c r="I253" s="802" t="s">
        <v>99</v>
      </c>
      <c r="J253" s="803" t="e">
        <f>(100+(J251*2.75/-4))/100</f>
        <v>#DIV/0!</v>
      </c>
      <c r="K253" s="578"/>
      <c r="L253" s="581" t="s">
        <v>106</v>
      </c>
      <c r="M253" s="581">
        <f>$W$13</f>
        <v>261.88</v>
      </c>
      <c r="N253" s="322"/>
      <c r="O253" s="322"/>
      <c r="P253" s="322"/>
      <c r="X253" s="322"/>
      <c r="Y253" s="322"/>
      <c r="Z253" s="322"/>
      <c r="AA253" s="322"/>
      <c r="AB253" s="322"/>
      <c r="AC253" s="322"/>
      <c r="AD253" s="322"/>
    </row>
    <row r="254" spans="8:8" ht="13.5" customHeight="1">
      <c r="A254" s="672"/>
      <c r="B254" s="672"/>
      <c r="C254" s="672"/>
      <c r="D254" s="636"/>
      <c r="E254" s="648"/>
      <c r="F254" s="797"/>
      <c r="G254" s="791"/>
      <c r="H254" s="322"/>
      <c r="I254" s="805" t="s">
        <v>100</v>
      </c>
      <c r="J254" s="809" t="e">
        <f>(100+(J252*4/-6.25))/100</f>
        <v>#DIV/0!</v>
      </c>
      <c r="K254" s="578"/>
      <c r="L254" s="322"/>
      <c r="M254" s="322"/>
      <c r="N254" s="322"/>
      <c r="O254" s="322"/>
      <c r="P254" s="322"/>
      <c r="T254" s="580"/>
      <c r="U254" s="580"/>
      <c r="X254" s="322"/>
      <c r="Y254" s="322"/>
      <c r="Z254" s="322"/>
      <c r="AA254" s="322"/>
      <c r="AB254" s="322"/>
      <c r="AC254" s="322"/>
      <c r="AD254" s="322"/>
    </row>
    <row r="255" spans="8:8" customHeight="1">
      <c r="A255" s="672"/>
      <c r="B255" s="672"/>
      <c r="C255" s="672"/>
      <c r="D255" s="636"/>
      <c r="E255" s="636"/>
      <c r="F255" s="802" t="s">
        <v>92</v>
      </c>
      <c r="G255" s="803" t="e">
        <f>IF(Calculadora!$B$2&gt;0,Calculadora!$B$2*M248,Calculadora!$B$2*M249)</f>
        <v>#NUM!</v>
      </c>
      <c r="H255" s="322"/>
      <c r="I255" s="578"/>
      <c r="J255" s="578"/>
      <c r="L255" s="322"/>
      <c r="M255" s="797" t="s">
        <v>17</v>
      </c>
      <c r="N255" s="795"/>
      <c r="O255" s="791"/>
      <c r="P255" s="322"/>
      <c r="T255" s="810"/>
      <c r="U255" s="810"/>
      <c r="V255" s="578"/>
      <c r="X255" s="322"/>
      <c r="Y255" s="322"/>
      <c r="Z255" s="322"/>
      <c r="AA255" s="322"/>
      <c r="AB255" s="322"/>
      <c r="AC255" s="322"/>
      <c r="AD255" s="322"/>
    </row>
    <row r="256" spans="8:8" customHeight="1">
      <c r="A256" s="672"/>
      <c r="B256" s="672"/>
      <c r="C256" s="672"/>
      <c r="D256" s="636"/>
      <c r="E256" s="636"/>
      <c r="F256" s="805"/>
      <c r="G256" s="809"/>
      <c r="H256" s="322"/>
      <c r="I256" s="797" t="s">
        <v>103</v>
      </c>
      <c r="J256" s="811" t="e">
        <f>M253+G255-J251</f>
        <v>#NUM!</v>
      </c>
      <c r="K256" s="620" t="e">
        <f>M253+G255</f>
        <v>#NUM!</v>
      </c>
      <c r="L256" s="322"/>
      <c r="M256" s="802" t="e">
        <f>MOD(F260,20/72)</f>
        <v>#NUM!</v>
      </c>
      <c r="N256" s="578" t="e">
        <f>MOD(F261,20/72)</f>
        <v>#NUM!</v>
      </c>
      <c r="O256" s="803"/>
      <c r="P256" s="322"/>
      <c r="T256" s="793" t="s">
        <v>13</v>
      </c>
      <c r="U256" s="793">
        <v>-1.0</v>
      </c>
      <c r="V256" s="793">
        <v>0.647</v>
      </c>
      <c r="X256" s="322"/>
      <c r="Y256" s="322"/>
      <c r="Z256" s="322"/>
      <c r="AA256" s="322"/>
      <c r="AB256" s="322"/>
      <c r="AC256" s="322"/>
      <c r="AD256" s="322"/>
    </row>
    <row r="257" spans="8:8" customHeight="1">
      <c r="A257" s="672"/>
      <c r="B257" s="672"/>
      <c r="C257" s="672"/>
      <c r="D257" s="636"/>
      <c r="E257" s="636"/>
      <c r="F257" s="578"/>
      <c r="G257" s="578"/>
      <c r="H257" s="322"/>
      <c r="I257" s="805" t="s">
        <v>104</v>
      </c>
      <c r="J257" s="812" t="e">
        <f>M253+G255+J252</f>
        <v>#NUM!</v>
      </c>
      <c r="K257" s="322"/>
      <c r="L257" s="322"/>
      <c r="M257" s="802" t="e">
        <f>M256/(20/72)</f>
        <v>#NUM!</v>
      </c>
      <c r="N257" s="578" t="e">
        <f>N256/(20/72)</f>
        <v>#NUM!</v>
      </c>
      <c r="O257" s="803"/>
      <c r="P257" s="322"/>
      <c r="T257" s="793" t="s">
        <v>13</v>
      </c>
      <c r="U257" s="793">
        <v>-10.0</v>
      </c>
      <c r="V257" s="793">
        <v>0.62</v>
      </c>
      <c r="W257" s="322"/>
      <c r="X257" s="322"/>
      <c r="Y257" s="322"/>
      <c r="Z257" s="322"/>
      <c r="AA257" s="322"/>
      <c r="AB257" s="322"/>
      <c r="AC257" s="322"/>
      <c r="AD257" s="322"/>
    </row>
    <row r="258" spans="8:8" customHeight="1">
      <c r="A258" s="672"/>
      <c r="B258" s="672"/>
      <c r="C258" s="672"/>
      <c r="D258" s="636"/>
      <c r="E258" s="636"/>
      <c r="F258" s="322"/>
      <c r="G258" s="322"/>
      <c r="H258" s="322"/>
      <c r="I258" s="322"/>
      <c r="J258" s="322"/>
      <c r="K258" s="322"/>
      <c r="L258" s="322"/>
      <c r="M258" s="802" t="e">
        <f>IF(M257&lt;0.288,ROUNDDOWN(M257,0),ROUNDUP(M257,0))</f>
        <v>#NUM!</v>
      </c>
      <c r="N258" s="578" t="e">
        <f>IF(N257&lt;0.288,ROUNDDOWN(N257,0),ROUNDUP(N257,0))</f>
        <v>#NUM!</v>
      </c>
      <c r="O258" s="803"/>
      <c r="P258" s="322"/>
      <c r="T258" s="793" t="s">
        <v>13</v>
      </c>
      <c r="U258" s="793">
        <v>-20.0</v>
      </c>
      <c r="V258" s="793">
        <v>0.583</v>
      </c>
      <c r="W258" s="322"/>
      <c r="X258" s="322"/>
      <c r="Y258" s="322"/>
      <c r="Z258" s="322"/>
      <c r="AA258" s="322"/>
      <c r="AB258" s="322"/>
      <c r="AC258" s="322"/>
      <c r="AD258" s="322"/>
    </row>
    <row r="259" spans="8:8" customHeight="1">
      <c r="A259" s="672"/>
      <c r="B259" s="672"/>
      <c r="C259" s="672"/>
      <c r="D259" s="636"/>
      <c r="E259" s="813" t="s">
        <v>95</v>
      </c>
      <c r="F259" s="581" t="s">
        <v>96</v>
      </c>
      <c r="G259" s="581" t="s">
        <v>77</v>
      </c>
      <c r="H259" s="581" t="s">
        <v>18</v>
      </c>
      <c r="I259" s="322"/>
      <c r="J259" s="581" t="s">
        <v>14</v>
      </c>
      <c r="K259" s="581" t="s">
        <v>78</v>
      </c>
      <c r="L259" s="814" t="s">
        <v>15</v>
      </c>
      <c r="M259" s="802"/>
      <c r="N259" s="578"/>
      <c r="O259" s="803"/>
      <c r="P259" s="322"/>
      <c r="T259" s="793" t="s">
        <v>13</v>
      </c>
      <c r="U259" s="793">
        <v>-30.0</v>
      </c>
      <c r="V259" s="815">
        <v>0.579</v>
      </c>
      <c r="W259" s="322"/>
      <c r="X259" s="322"/>
      <c r="Y259" s="322"/>
      <c r="Z259" s="322"/>
      <c r="AA259" s="322"/>
      <c r="AB259" s="322"/>
      <c r="AC259" s="322"/>
      <c r="AD259" s="322"/>
    </row>
    <row r="260" spans="8:8" customHeight="1">
      <c r="A260" s="672"/>
      <c r="B260" s="672"/>
      <c r="C260" s="672"/>
      <c r="D260" s="637" t="s">
        <v>101</v>
      </c>
      <c r="E260" s="816" t="e">
        <f>IF(M258=0,INDEX(Caliper!F255:F363,(ROUNDDOWN(((F260-70)/(20/72)+1),0)),1),INDEX(Caliper!F255:F363,(ROUNDUP(((F260-70)/(20/72))+1,0)),1))</f>
        <v>#NUM!</v>
      </c>
      <c r="F260" s="817" t="e">
        <f>100*(J256-C248)*(J256-D248)*(J256-E248)*(J256-B251)/((B248-C248)*(B248-D248)*(B248-E248)*(B248-B251))+97.5*(J256-B248)*(J256-D248)*(J256-E248)*(J256-B251)/((C248-B248)*(C248-D248)*(C248-E248)*(C248-B251))+95*(J256-B248)*(J256-C248)*(J256-E248)*(J256-B251)/((D248-B248)*(D248-C248)*(D248-E248)*(D248-B251))+92.5*(J256-B248)*(J256-C248)*(J256-D248)*(J256-B251)/((E248-B248)*(E248-C248)*(E248-D248)*(E248-B251))+90*(J256-B248)*(J256-C248)*(J256-D248)*(J256-E248)/((B251-B248)*(B251-C248)*(B251-D248)*(B251-E248))</f>
        <v>#NUM!</v>
      </c>
      <c r="G260" s="818" t="e">
        <f>G250+M252</f>
        <v>#NUM!</v>
      </c>
      <c r="H260" s="581" t="e">
        <f>N260</f>
        <v>#NUM!</v>
      </c>
      <c r="I260" s="581" t="s">
        <v>7</v>
      </c>
      <c r="J260" s="798" t="e">
        <f>R249</f>
        <v>#NUM!</v>
      </c>
      <c r="K260" s="581"/>
      <c r="L260" s="819">
        <f>V252</f>
        <v>0.5499255499941259</v>
      </c>
      <c r="M260" s="802" t="s">
        <v>19</v>
      </c>
      <c r="N260" s="578" t="e">
        <f>IF(M256&lt;0.08,30,N261)</f>
        <v>#NUM!</v>
      </c>
      <c r="O260" s="803" t="e">
        <f>IF(N256&lt;0.08,30,O261)</f>
        <v>#NUM!</v>
      </c>
      <c r="P260" s="322"/>
      <c r="Q260" s="322"/>
      <c r="R260" s="322"/>
      <c r="T260" s="793" t="s">
        <v>13</v>
      </c>
      <c r="U260" s="793">
        <v>-40.0</v>
      </c>
      <c r="V260" s="815">
        <v>0.57</v>
      </c>
      <c r="W260" s="322"/>
      <c r="X260" s="322"/>
      <c r="Y260" s="322"/>
      <c r="Z260" s="322"/>
      <c r="AA260" s="322"/>
      <c r="AB260" s="322"/>
      <c r="AC260" s="322"/>
      <c r="AD260" s="322"/>
    </row>
    <row r="261" spans="8:8" customHeight="1">
      <c r="A261" s="672"/>
      <c r="B261" s="672"/>
      <c r="C261" s="672"/>
      <c r="D261" s="637" t="s">
        <v>102</v>
      </c>
      <c r="E261" s="816" t="e">
        <f>IF(N258=0,INDEX(Caliper!F255:F363,(ROUNDDOWN(((F261-70)/(20/72)+1),0)),1),INDEX(Caliper!F255:F363,(ROUNDUP(((F261-70)/(20/72))+1,0)),1))</f>
        <v>#NUM!</v>
      </c>
      <c r="F261" s="817" t="e">
        <f>100*(J257-C248)*(J257-D248)*(J257-E248)*(J257-B251)/((B248-C248)*(B248-D248)*(B248-E248)*(B248-B251))+97.5*(J257-B248)*(J257-D248)*(J257-E248)*(J257-B251)/((C248-B248)*(C248-D248)*(C248-E248)*(C248-B251))+95*(J257-B248)*(J257-C248)*(J257-E248)*(J257-B251)/((D248-B248)*(D248-C248)*(D248-E248)*(D248-B251))+92.5*(J257-B248)*(J257-C248)*(J257-D248)*(J257-B251)/((E248-B248)*(E248-C248)*(E248-D248)*(E248-B251))+90*(J257-B248)*(J257-C248)*(J257-D248)*(J257-E248)/((B251-B248)*(B251-C248)*(B251-D248)*(B251-E248))</f>
        <v>#NUM!</v>
      </c>
      <c r="G261" s="818" t="e">
        <f>G251+M252</f>
        <v>#NUM!</v>
      </c>
      <c r="H261" s="581" t="e">
        <f>O260</f>
        <v>#NUM!</v>
      </c>
      <c r="I261" s="581" t="s">
        <v>13</v>
      </c>
      <c r="J261" s="798" t="e">
        <f>R250</f>
        <v>#NUM!</v>
      </c>
      <c r="K261" s="581"/>
      <c r="L261" s="819">
        <f>V261</f>
        <v>0.644230681736366</v>
      </c>
      <c r="M261" s="805"/>
      <c r="N261" s="820" t="e">
        <f>IF(M256&gt;(20/72)-0.08,30,29)</f>
        <v>#NUM!</v>
      </c>
      <c r="O261" s="809" t="e">
        <f>IF(N256&gt;(20/72)-0.08,30,29)</f>
        <v>#NUM!</v>
      </c>
      <c r="P261" s="322"/>
      <c r="Q261" s="322"/>
      <c r="R261" s="322"/>
      <c r="T261" s="793" t="s">
        <v>16</v>
      </c>
      <c r="U261" s="793">
        <f>Calculadora!$B$2</f>
        <v>0.95</v>
      </c>
      <c r="V261" s="808">
        <f>V256*(U261-U257)*(U261-U258)*(U261-U259)*(U261-U260)/((U256-U257)*(U256-U258)*(U256-U259)*(U256-U260))+V257*(U261-U256)*(U261-U258)*(U261-U259)*(U261-U260)/((U257-U256)*(U257-U258)*(U257-U259)*(U257-U260))+V258*(U261-U256)*(U261-U257)*(U261-U259)*(U261-U260)/((U258-U256)*(U258-U257)*(U258-U259)*(U258-U260))+V259*(U261-U256)*(U261-U257)*(U261-U258)*(U261-U260)/((U259-U256)*(U259-U257)*(U259-U258)*(U259-U260))+V260*(U261-U256)*(U261-U257)*(U261-U258)*(U261-U259)/((U260-U256)*(U260-U257)*(U260-U258)*(U260-U259))</f>
        <v>0.644230681736366</v>
      </c>
      <c r="W261" s="322"/>
      <c r="X261" s="322"/>
      <c r="Y261" s="322"/>
      <c r="Z261" s="322"/>
      <c r="AA261" s="322"/>
      <c r="AB261" s="322"/>
      <c r="AC261" s="322"/>
      <c r="AD261" s="322"/>
    </row>
    <row r="262" spans="8:8" customHeight="1">
      <c r="T262" s="578"/>
      <c r="U262" s="322"/>
      <c r="V262" s="322"/>
      <c r="W262" s="322"/>
      <c r="X262" s="322"/>
      <c r="Y262" s="322"/>
      <c r="Z262" s="322"/>
      <c r="AA262" s="322"/>
      <c r="AB262" s="322"/>
      <c r="AC262" s="322"/>
      <c r="AD262" s="322"/>
    </row>
    <row r="263" spans="8:8" ht="13.5" customHeight="1">
      <c r="A263" s="597"/>
      <c r="B263" s="598"/>
      <c r="C263" s="598"/>
      <c r="D263" s="598"/>
      <c r="E263" s="598"/>
      <c r="F263" s="598"/>
      <c r="G263" s="598"/>
      <c r="H263" s="598"/>
      <c r="I263" s="598"/>
      <c r="J263" s="598"/>
      <c r="K263" s="598"/>
      <c r="L263" s="598"/>
      <c r="M263" s="598"/>
      <c r="N263" s="598"/>
      <c r="O263" s="598"/>
      <c r="P263" s="598"/>
      <c r="Q263" s="598"/>
      <c r="R263" s="598"/>
      <c r="S263" s="598"/>
      <c r="T263" s="598"/>
      <c r="U263" s="598"/>
      <c r="V263" s="598"/>
      <c r="W263" s="598"/>
      <c r="X263" s="598"/>
      <c r="Y263" s="599"/>
      <c r="Z263" s="322"/>
      <c r="AA263" s="322"/>
      <c r="AB263" s="322"/>
      <c r="AC263" s="322"/>
      <c r="AD263" s="322"/>
    </row>
    <row r="264" spans="8:8" customHeight="1">
      <c r="A264" s="821" t="s">
        <v>26</v>
      </c>
      <c r="F264" s="322"/>
      <c r="G264" s="322"/>
      <c r="H264" s="322"/>
      <c r="I264" s="322"/>
      <c r="J264" s="322"/>
      <c r="K264" s="324" t="s">
        <v>111</v>
      </c>
      <c r="L264" s="322"/>
      <c r="M264" s="322"/>
      <c r="N264" s="322"/>
      <c r="O264" s="322"/>
      <c r="P264" s="322"/>
      <c r="T264" s="322"/>
      <c r="U264" s="322"/>
      <c r="V264" s="322"/>
      <c r="W264" s="322"/>
      <c r="X264" s="322"/>
      <c r="Y264" s="322"/>
      <c r="Z264" s="322"/>
      <c r="AA264" s="322"/>
      <c r="AB264" s="322"/>
      <c r="AC264" s="322"/>
      <c r="AD264" s="322"/>
    </row>
    <row r="265" spans="8:8" customHeight="1">
      <c r="A265" s="336" t="s">
        <v>31</v>
      </c>
      <c r="B265" s="605" t="s">
        <v>86</v>
      </c>
      <c r="C265" s="605" t="s">
        <v>77</v>
      </c>
      <c r="F265" s="338" t="s">
        <v>77</v>
      </c>
      <c r="G265" s="322"/>
      <c r="H265" s="322"/>
      <c r="I265" s="584" t="s">
        <v>93</v>
      </c>
      <c r="J265" s="578"/>
      <c r="K265" s="578">
        <f>C266*(M271-B267)*(M271-B268)/((B266-B267)*(B266-B268))+C267*(M271-B266)*(M271-B268)/((B267-B266)*(B267-B268))+C268*(M271-B266)*(M271-B267)/((B268-B266)*(B268-B267))</f>
        <v>2.5759150095594983</v>
      </c>
      <c r="L265" s="584" t="s">
        <v>77</v>
      </c>
      <c r="M265" s="584">
        <f>IF(M271&lt;(B267+0.0001),K268,K265)</f>
        <v>-0.8862242668125973</v>
      </c>
      <c r="N265" s="322"/>
      <c r="O265" s="584" t="s">
        <v>14</v>
      </c>
      <c r="P265" s="322"/>
      <c r="Q265" s="322"/>
      <c r="T265" s="793" t="s">
        <v>7</v>
      </c>
      <c r="U265" s="793">
        <v>1.0</v>
      </c>
      <c r="V265" s="815">
        <v>0.495</v>
      </c>
      <c r="W265" s="322"/>
      <c r="AA265" s="322"/>
      <c r="AB265" s="322"/>
      <c r="AC265" s="322"/>
      <c r="AD265" s="322"/>
    </row>
    <row r="266" spans="8:8" customHeight="1">
      <c r="A266" s="822" t="s">
        <v>351</v>
      </c>
      <c r="B266" s="823">
        <v>330.0</v>
      </c>
      <c r="C266" s="823">
        <v>1.355</v>
      </c>
      <c r="F266" s="352" t="s">
        <v>87</v>
      </c>
      <c r="G266" s="353">
        <f>M265*$AA$1*Calculadora!$B$3</f>
        <v>-3.833203001841463</v>
      </c>
      <c r="H266" s="322"/>
      <c r="I266" s="352"/>
      <c r="J266" s="354"/>
      <c r="K266" s="578"/>
      <c r="L266" s="584" t="s">
        <v>7</v>
      </c>
      <c r="M266" s="355">
        <f>L278*POWER(K278,(B267-M271))</f>
        <v>1.1164940117492597</v>
      </c>
      <c r="N266" s="322"/>
      <c r="O266" s="824">
        <f>B267</f>
        <v>322.11</v>
      </c>
      <c r="P266" s="370">
        <v>3.8</v>
      </c>
      <c r="Q266" s="357">
        <v>3.4</v>
      </c>
      <c r="T266" s="825" t="s">
        <v>7</v>
      </c>
      <c r="U266" s="793">
        <v>5.0</v>
      </c>
      <c r="V266" s="815">
        <v>0.502</v>
      </c>
      <c r="AA266" s="322"/>
      <c r="AB266" s="322"/>
      <c r="AC266" s="322"/>
      <c r="AD266" s="322"/>
    </row>
    <row r="267" spans="8:8" ht="13.5" customHeight="1">
      <c r="A267" s="826">
        <v>1.0</v>
      </c>
      <c r="B267" s="365">
        <v>322.11</v>
      </c>
      <c r="C267" s="365">
        <v>1.2497</v>
      </c>
      <c r="F267" s="366" t="s">
        <v>88</v>
      </c>
      <c r="G267" s="367">
        <f>IF(G273&gt;0,G266*M268,G266*M269)</f>
        <v>-3.8202001944214405</v>
      </c>
      <c r="H267" s="322"/>
      <c r="I267" s="366" t="s">
        <v>94</v>
      </c>
      <c r="J267" s="368">
        <f>M265*Calculadora!$B$3*$AA$2</f>
        <v>-2.2229239806753927</v>
      </c>
      <c r="K267" s="369" t="s">
        <v>112</v>
      </c>
      <c r="L267" s="584" t="s">
        <v>8</v>
      </c>
      <c r="M267" s="355">
        <f>L279*POWER(K279,(B267-M271))</f>
        <v>0.934051844385688</v>
      </c>
      <c r="N267" s="322"/>
      <c r="O267" s="824">
        <f>B268</f>
        <v>313.16</v>
      </c>
      <c r="P267" s="827">
        <v>3.7</v>
      </c>
      <c r="Q267" s="828">
        <v>3.2</v>
      </c>
      <c r="T267" s="793" t="s">
        <v>7</v>
      </c>
      <c r="U267" s="793">
        <v>10.0</v>
      </c>
      <c r="V267" s="815">
        <v>0.51</v>
      </c>
      <c r="AA267" s="322"/>
      <c r="AB267" s="322"/>
      <c r="AC267" s="322"/>
      <c r="AD267" s="322"/>
    </row>
    <row r="268" spans="8:8" ht="13.5" customHeight="1">
      <c r="A268" s="829">
        <v>0.975</v>
      </c>
      <c r="B268" s="365">
        <v>313.16</v>
      </c>
      <c r="C268" s="365">
        <v>1.2085</v>
      </c>
      <c r="F268" s="366" t="s">
        <v>89</v>
      </c>
      <c r="G268" s="367">
        <f>G267*J271</f>
        <v>-3.876444164704365</v>
      </c>
      <c r="H268" s="593">
        <f>(G268/(Calculadora!$B$3*$AA$1))*Calculadora!$B$5/4</f>
        <v>0.0</v>
      </c>
      <c r="I268" s="366"/>
      <c r="J268" s="368"/>
      <c r="K268" s="323">
        <f>C267*(M271-B268)*(M271-B269)*(M271-B270)*(M271-B271)/((B267-B268)*(B267-B269)*(B267-B270)*(B267-B271))+C268*(M271-B267)*(M271-B269)*(M271-B270)*(M271-B271)/((B268-B267)*(B268-B269)*(B268-B270)*(B268-B271))+C269*(M271-B267)*(M271-B268)*(M271-B270)*(M271-B271)/((B269-B267)*(B269-B268)*(B269-B270)*(B269-B271))+C270*(M271-B267)*(M271-B268)*(M271-B269)*(M271-B271)/((B270-B267)*(B270-B268)*(B270-B269)*(B270-B271))+C271*(M271-B267)*(M271-B268)*(M271-B269)*(M271-B270)/((B271-B267)*(B271-B268)*(B271-B269)*(B271-B270))</f>
        <v>-0.8862242668125973</v>
      </c>
      <c r="L268" s="584" t="s">
        <v>9</v>
      </c>
      <c r="M268" s="355">
        <f>IF((M271&gt;0),((100+(G273/-J278))/100))</f>
        <v>0.9966078479501931</v>
      </c>
      <c r="N268" s="322"/>
      <c r="O268" s="824">
        <f>B269</f>
        <v>304.19</v>
      </c>
      <c r="P268" s="827">
        <v>3.6</v>
      </c>
      <c r="Q268" s="828">
        <v>3.0</v>
      </c>
      <c r="T268" s="793" t="s">
        <v>7</v>
      </c>
      <c r="U268" s="793">
        <v>15.0</v>
      </c>
      <c r="V268" s="815">
        <v>0.52</v>
      </c>
      <c r="AA268" s="322"/>
      <c r="AB268" s="322"/>
      <c r="AC268" s="322"/>
      <c r="AD268" s="322"/>
    </row>
    <row r="269" spans="8:8" customHeight="1">
      <c r="A269" s="829">
        <v>0.95</v>
      </c>
      <c r="B269" s="365">
        <v>304.19</v>
      </c>
      <c r="C269" s="365">
        <v>1.0921</v>
      </c>
      <c r="F269" s="388" t="s">
        <v>90</v>
      </c>
      <c r="G269" s="389">
        <f>G267/J272</f>
        <v>-3.754048425901719</v>
      </c>
      <c r="H269" s="593">
        <f>(G269/(Calculadora!$B$3*$AA$1))*Calculadora!$B$5/4</f>
        <v>0.0</v>
      </c>
      <c r="I269" s="366" t="s">
        <v>97</v>
      </c>
      <c r="J269" s="368">
        <f>$AT$1*Calculadora!$B$3*M265*0.98*(1-(G273*0.016))</f>
        <v>-2.1414953970234683</v>
      </c>
      <c r="L269" s="584" t="s">
        <v>10</v>
      </c>
      <c r="M269" s="355">
        <f>IF((M271&gt;0),((100+(G273/-J279))/100))</f>
        <v>1.0039408828601193</v>
      </c>
      <c r="N269" s="322"/>
      <c r="O269" s="830">
        <f>B270</f>
        <v>295.18</v>
      </c>
      <c r="P269" s="831">
        <v>3.5</v>
      </c>
      <c r="Q269" s="832">
        <v>2.9</v>
      </c>
      <c r="T269" s="793" t="s">
        <v>7</v>
      </c>
      <c r="U269" s="793">
        <v>20.0</v>
      </c>
      <c r="V269" s="815">
        <v>0.53</v>
      </c>
      <c r="AA269" s="322"/>
      <c r="AB269" s="322"/>
      <c r="AC269" s="322"/>
      <c r="AD269" s="322"/>
    </row>
    <row r="270" spans="8:8" customHeight="1">
      <c r="A270" s="829">
        <v>0.925</v>
      </c>
      <c r="B270" s="365">
        <v>295.18</v>
      </c>
      <c r="C270" s="365">
        <v>1.0002</v>
      </c>
      <c r="F270" s="322"/>
      <c r="G270" s="322"/>
      <c r="H270" s="322"/>
      <c r="I270" s="366" t="s">
        <v>98</v>
      </c>
      <c r="J270" s="368">
        <f>$AT$1*Calculadora!$B$3*M265*1.26*(1-(G273*0.016))</f>
        <v>-2.753351224744459</v>
      </c>
      <c r="K270" s="578"/>
      <c r="L270" s="584" t="s">
        <v>105</v>
      </c>
      <c r="M270" s="584">
        <f>M265/4.05*Calculadora!$B$5</f>
        <v>0.0</v>
      </c>
      <c r="N270" s="322"/>
      <c r="O270" s="830">
        <f>B271</f>
        <v>286.19</v>
      </c>
      <c r="P270" s="833">
        <v>3.4</v>
      </c>
      <c r="Q270" s="834">
        <v>2.7</v>
      </c>
      <c r="T270" s="793" t="s">
        <v>12</v>
      </c>
      <c r="U270" s="793">
        <f>Calculadora!$B$2</f>
        <v>0.95</v>
      </c>
      <c r="V270" s="808">
        <f>V265*(U270-U266)*(U270-U267)*(U270-U268)*(U270-U269)/((U265-U266)*(U265-U267)*(U265-U268)*(U265-U269))+V266*(U270-U265)*(U270-U267)*(U270-U268)*(U270-U269)/((U266-U265)*(U266-U267)*(U266-U268)*(U266-U269))+V267*(U270-U265)*(U270-U266)*(U270-U268)*(U270-U269)/((U267-U265)*(U267-U266)*(U267-U268)*(U267-U269))+V268*(U270-U265)*(U270-U266)*(U270-U267)*(U270-U269)/((U268-U265)*(U268-U266)*(U268-U267)*(U268-U269))+V269*(U270-U265)*(U270-U266)*(U270-U267)*(U270-U268)/((U269-U265)*(U269-U266)*(U269-U267)*(U269-U268))</f>
        <v>0.49489260818012226</v>
      </c>
      <c r="AA270" s="322"/>
      <c r="AB270" s="322"/>
      <c r="AC270" s="322"/>
      <c r="AD270" s="322"/>
    </row>
    <row r="271" spans="8:8" customHeight="1">
      <c r="A271" s="829">
        <v>0.9</v>
      </c>
      <c r="B271" s="835">
        <v>286.19</v>
      </c>
      <c r="C271" s="835">
        <v>0.9106</v>
      </c>
      <c r="F271" s="338" t="s">
        <v>91</v>
      </c>
      <c r="G271" s="322"/>
      <c r="H271" s="322"/>
      <c r="I271" s="366" t="s">
        <v>99</v>
      </c>
      <c r="J271" s="368">
        <f>(100+(J269*2.75/-4))/100</f>
        <v>1.0147227808545365</v>
      </c>
      <c r="K271" s="578"/>
      <c r="L271" s="584" t="s">
        <v>106</v>
      </c>
      <c r="M271" s="584">
        <f>$U$13</f>
        <v>261.88</v>
      </c>
      <c r="N271" s="322"/>
      <c r="O271" s="358">
        <f>K274</f>
        <v>262.9406693111618</v>
      </c>
      <c r="P271" s="836">
        <f>P266*(O271-O267)*(O271-O268)*(O271-O269)*(O271-O270)/((O266-O267)*(O266-O268)*(O266-O269)*(O266-O270))+P267*(O271-O266)*(O271-O268)*(O271-O269)*(O271-O270)/((O267-O266)*(O267-O268)*(O267-O269)*(O267-O270))+P268*(O271-O266)*(O271-O267)*(O271-O269)*(O271-O270)/((O268-O266)*(O268-O267)*(O268-O269)*(O268-O270))+P269*(O271-O266)*(O271-O267)*(O271-O268)*(O271-O270)/((O269-O266)*(O269-O267)*(O269-O268)*(O269-O270))+P270*(O271-O266)*(O271-O267)*(O271-O268)*(O271-O269)/((O270-O266)*(O270-O267)*(O270-O268)*(O270-O269))</f>
        <v>3.126833041644403</v>
      </c>
      <c r="Q271" s="836">
        <f>Q266*(O271-O267)*(O271-O268)*(O271-O269)*(O271-O270)/((O266-O267)*(O266-O268)*(O266-O269)*(O266-O270))+Q267*(O271-O266)*(O271-O268)*(O271-O269)*(O271-O270)/((O267-O266)*(O267-O268)*(O267-O269)*(O267-O270))+Q268*(O271-O266)*(O271-O267)*(O271-O269)*(O271-O270)/((O268-O266)*(O268-O267)*(O268-O269)*(O268-O270))+Q269*(O271-O266)*(O271-O267)*(O271-O268)*(O271-O270)/((O269-O266)*(O269-O267)*(O269-O268)*(O269-O270))+Q270*(O271-O266)*(O271-O267)*(O271-O268)*(O271-O269)/((O270-O266)*(O270-O267)*(O270-O268)*(O270-O269))</f>
        <v>-2.6914509992051023</v>
      </c>
      <c r="AA271" s="322"/>
      <c r="AB271" s="322"/>
      <c r="AC271" s="322"/>
      <c r="AD271" s="322"/>
    </row>
    <row r="272" spans="8:8" customHeight="1">
      <c r="F272" s="352"/>
      <c r="G272" s="354"/>
      <c r="H272" s="322"/>
      <c r="I272" s="388" t="s">
        <v>100</v>
      </c>
      <c r="J272" s="402">
        <f>(100+(J270*4/-6.25))/100</f>
        <v>1.0176214478383645</v>
      </c>
      <c r="K272" s="578"/>
      <c r="L272" s="322"/>
      <c r="M272" s="322"/>
      <c r="N272" s="322"/>
      <c r="O272" s="322"/>
      <c r="P272" s="322"/>
      <c r="AA272" s="322"/>
      <c r="AB272" s="322"/>
      <c r="AC272" s="322"/>
      <c r="AD272" s="322"/>
    </row>
    <row r="273" spans="8:8" customHeight="1">
      <c r="F273" s="366" t="s">
        <v>92</v>
      </c>
      <c r="G273" s="368">
        <f>IF(Calculadora!$B$2&gt;0,Calculadora!$B$2*M266,Calculadora!$B$2*M267)</f>
        <v>1.0606693111617966</v>
      </c>
      <c r="H273" s="322"/>
      <c r="I273" s="578"/>
      <c r="J273" s="578"/>
      <c r="L273" s="322"/>
      <c r="M273" s="584" t="s">
        <v>17</v>
      </c>
      <c r="N273" s="619"/>
      <c r="O273" s="354"/>
      <c r="P273" s="322"/>
      <c r="AA273" s="322"/>
      <c r="AB273" s="322"/>
      <c r="AC273" s="322"/>
      <c r="AD273" s="322"/>
    </row>
    <row r="274" spans="8:8" customHeight="1">
      <c r="F274" s="388"/>
      <c r="G274" s="402"/>
      <c r="H274" s="322"/>
      <c r="I274" s="352" t="s">
        <v>103</v>
      </c>
      <c r="J274" s="415">
        <f>M271+G273-J269</f>
        <v>265.0821647081855</v>
      </c>
      <c r="K274" s="620">
        <f>M271+G273</f>
        <v>262.9406693111618</v>
      </c>
      <c r="L274" s="322"/>
      <c r="M274" s="366">
        <f>MOD(F278,20/72)</f>
        <v>0.2331076912189184</v>
      </c>
      <c r="N274" s="621">
        <f>MOD(F279,20/72)</f>
        <v>0.06207676752768787</v>
      </c>
      <c r="O274" s="368"/>
      <c r="P274" s="322"/>
      <c r="T274" s="793" t="s">
        <v>13</v>
      </c>
      <c r="U274" s="793">
        <v>-1.0</v>
      </c>
      <c r="V274" s="815">
        <v>0.419</v>
      </c>
      <c r="X274" s="793" t="s">
        <v>13</v>
      </c>
      <c r="Y274" s="793">
        <v>-40.0</v>
      </c>
      <c r="Z274" s="815">
        <v>0.395</v>
      </c>
      <c r="AA274" s="322"/>
      <c r="AB274" s="322"/>
      <c r="AC274" s="322"/>
      <c r="AD274" s="322"/>
    </row>
    <row r="275" spans="8:8" customHeight="1">
      <c r="F275" s="578"/>
      <c r="G275" s="578"/>
      <c r="H275" s="322"/>
      <c r="I275" s="388" t="s">
        <v>104</v>
      </c>
      <c r="J275" s="423">
        <f>M271+G273+J270</f>
        <v>260.1873180864176</v>
      </c>
      <c r="K275" s="322"/>
      <c r="L275" s="322"/>
      <c r="M275" s="366">
        <f>M274/(20/72)</f>
        <v>0.8391876883881062</v>
      </c>
      <c r="N275" s="621">
        <f>N274/(20/72)</f>
        <v>0.22347636309967633</v>
      </c>
      <c r="O275" s="368"/>
      <c r="P275" s="322"/>
      <c r="T275" s="793" t="s">
        <v>13</v>
      </c>
      <c r="U275" s="793">
        <v>-10.0</v>
      </c>
      <c r="V275" s="815">
        <v>0.411</v>
      </c>
      <c r="X275" s="793" t="s">
        <v>13</v>
      </c>
      <c r="Y275" s="793">
        <v>-50.0</v>
      </c>
      <c r="Z275" s="815">
        <v>0.38</v>
      </c>
      <c r="AA275" s="322"/>
      <c r="AB275" s="322"/>
      <c r="AC275" s="322"/>
      <c r="AD275" s="322"/>
    </row>
    <row r="276" spans="8:8" customHeight="1">
      <c r="F276" s="322"/>
      <c r="G276" s="322"/>
      <c r="H276" s="322"/>
      <c r="I276" s="322"/>
      <c r="J276" s="322"/>
      <c r="K276" s="322"/>
      <c r="L276" s="322"/>
      <c r="M276" s="366">
        <f>IF(M275&lt;0.288,ROUNDDOWN(M275,0),ROUNDUP(M275,0))</f>
        <v>1.0</v>
      </c>
      <c r="N276" s="621">
        <f>IF(N275&lt;0.288,ROUNDDOWN(N275,0),ROUNDUP(N275,0))</f>
        <v>0.0</v>
      </c>
      <c r="O276" s="368"/>
      <c r="P276" s="322"/>
      <c r="T276" s="793" t="s">
        <v>13</v>
      </c>
      <c r="U276" s="793">
        <v>-20.0</v>
      </c>
      <c r="V276" s="815">
        <v>0.396</v>
      </c>
      <c r="X276" s="793" t="s">
        <v>13</v>
      </c>
      <c r="Y276" s="793">
        <v>-60.0</v>
      </c>
      <c r="Z276" s="815">
        <v>0.365</v>
      </c>
      <c r="AA276" s="322"/>
      <c r="AB276" s="322"/>
      <c r="AC276" s="322"/>
      <c r="AD276" s="322"/>
    </row>
    <row r="277" spans="8:8" customHeight="1">
      <c r="A277" s="672"/>
      <c r="B277" s="672"/>
      <c r="C277" s="672"/>
      <c r="D277" s="636"/>
      <c r="E277" s="637" t="s">
        <v>95</v>
      </c>
      <c r="F277" s="605" t="s">
        <v>96</v>
      </c>
      <c r="G277" s="584" t="s">
        <v>77</v>
      </c>
      <c r="H277" s="584" t="s">
        <v>18</v>
      </c>
      <c r="I277" s="322"/>
      <c r="J277" s="584" t="s">
        <v>14</v>
      </c>
      <c r="K277" s="584" t="s">
        <v>78</v>
      </c>
      <c r="L277" s="444" t="s">
        <v>15</v>
      </c>
      <c r="M277" s="366"/>
      <c r="N277" s="621"/>
      <c r="O277" s="368"/>
      <c r="P277" s="322"/>
      <c r="Q277" s="322"/>
      <c r="R277" s="627"/>
      <c r="S277" s="627"/>
      <c r="T277" s="793" t="s">
        <v>13</v>
      </c>
      <c r="U277" s="793">
        <v>-30.0</v>
      </c>
      <c r="V277" s="815">
        <v>0.39</v>
      </c>
      <c r="X277" s="793" t="s">
        <v>13</v>
      </c>
      <c r="Y277" s="793">
        <v>-70.0</v>
      </c>
      <c r="Z277" s="815">
        <v>0.363</v>
      </c>
      <c r="AA277" s="322"/>
      <c r="AB277" s="322"/>
      <c r="AC277" s="322"/>
      <c r="AD277" s="322"/>
    </row>
    <row r="278" spans="8:8" customHeight="1">
      <c r="A278" s="672"/>
      <c r="B278" s="672"/>
      <c r="C278" s="672"/>
      <c r="D278" s="643" t="s">
        <v>101</v>
      </c>
      <c r="E278" s="638">
        <f>IF(M276=0,INDEX(Caliper!$F$291:$F$363,(ROUNDDOWN(((F278-80)/(20/72)+1),0)),1),INDEX(Caliper!$F$291:$F$363,(ROUNDUP(((F278-80)/(20/72))+1,0)),1))</f>
        <v>253.3444444444625</v>
      </c>
      <c r="F278" s="837">
        <f>100*(J274-B268)*(J274-B269)*(J274-B270)*(J274-B271)/((B267-B268)*(B267-B269)*(B267-B270)*(B267-B271))+97.5*(J274-B267)*(J274-B269)*(J274-B270)*(J274-B271)/((B268-B267)*(B268-B269)*(B268-B270)*(B268-B271))+95*(J274-B267)*(J274-B268)*(J274-B270)*(J274-B271)/((B269-B267)*(B269-B268)*(B269-B270)*(B269-B271))+92.5*(J274-B267)*(J274-B268)*(J274-B269)*(J274-B271)/((B270-B267)*(B270-B268)*(B270-B269)*(B270-B271))+90*(J274-B267)*(J274-B268)*(J274-B269)*(J274-B270)/((B271-B267)*(B271-B268)*(B271-B269)*(B271-B270))</f>
        <v>83.84421880233003</v>
      </c>
      <c r="G278" s="446">
        <f>G268+H268</f>
        <v>-3.87644416470437</v>
      </c>
      <c r="H278" s="584">
        <f>N278</f>
        <v>30.0</v>
      </c>
      <c r="I278" s="444" t="s">
        <v>7</v>
      </c>
      <c r="J278" s="355">
        <f>P271</f>
        <v>3.126833041644403</v>
      </c>
      <c r="K278" s="584">
        <v>1.0136</v>
      </c>
      <c r="L278" s="625">
        <f>V270</f>
        <v>0.49489260818012226</v>
      </c>
      <c r="M278" s="338" t="s">
        <v>19</v>
      </c>
      <c r="N278" s="352">
        <f>IF(M274&lt;0.08,30,N279)</f>
        <v>30.0</v>
      </c>
      <c r="O278" s="354">
        <f>IF(N274&lt;0.08,30,O279)</f>
        <v>30.0</v>
      </c>
      <c r="P278" s="322"/>
      <c r="Q278" s="322"/>
      <c r="R278" s="627"/>
      <c r="S278" s="627"/>
      <c r="T278" s="793" t="s">
        <v>13</v>
      </c>
      <c r="U278" s="793">
        <v>-40.0</v>
      </c>
      <c r="V278" s="815">
        <v>0.369</v>
      </c>
      <c r="X278" s="793" t="s">
        <v>13</v>
      </c>
      <c r="Y278" s="793">
        <v>-80.0</v>
      </c>
      <c r="Z278" s="815">
        <v>0.356</v>
      </c>
      <c r="AA278" s="322"/>
      <c r="AB278" s="322"/>
      <c r="AC278" s="322"/>
      <c r="AD278" s="322"/>
    </row>
    <row r="279" spans="8:8" customHeight="1">
      <c r="A279" s="672"/>
      <c r="B279" s="672"/>
      <c r="C279" s="672"/>
      <c r="D279" s="643" t="s">
        <v>102</v>
      </c>
      <c r="E279" s="638">
        <f>IF(N276=0,INDEX(Caliper!$F$291:$F$363,(ROUNDDOWN(((F279-80)/(20/72)+1),0)),1),INDEX(Caliper!$F$291:$F$363,(ROUNDUP(((F279-80)/(20/72))+1,0)),1))</f>
        <v>248.3111111111288</v>
      </c>
      <c r="F279" s="837">
        <f>100*(J275-B268)*(J275-B269)*(J275-B270)*(J275-B271)/((B267-B268)*(B267-B269)*(B267-B270)*(B267-B271))+97.5*(J275-B267)*(J275-B269)*(J275-B270)*(J275-B271)/((B268-B267)*(B268-B269)*(B268-B270)*(B268-B271))+95*(J275-B267)*(J275-B268)*(J275-B270)*(J275-B271)/((B269-B267)*(B269-B268)*(B269-B270)*(B269-B271))+92.5*(J275-B267)*(J275-B268)*(J275-B269)*(J275-B271)/((B270-B267)*(B270-B268)*(B270-B269)*(B270-B271))+90*(J275-B267)*(J275-B268)*(J275-B269)*(J275-B270)/((B271-B267)*(B271-B268)*(B271-B269)*(B271-B270))</f>
        <v>82.28429898974991</v>
      </c>
      <c r="G279" s="446">
        <f>G269+H269</f>
        <v>-3.75404842590172</v>
      </c>
      <c r="H279" s="584">
        <f>O278</f>
        <v>30.0</v>
      </c>
      <c r="I279" s="584" t="s">
        <v>13</v>
      </c>
      <c r="J279" s="355">
        <f>Q271</f>
        <v>-2.6914509992051023</v>
      </c>
      <c r="K279" s="584">
        <v>1.0135</v>
      </c>
      <c r="L279" s="625">
        <f>IF(Calculadora!B2&gt;-39.99,CC!V279,CC!Z279)</f>
        <v>0.416491686911513</v>
      </c>
      <c r="M279" s="425"/>
      <c r="N279" s="388">
        <f>IF(M274&gt;(20/72)-0.08,30,29)</f>
        <v>30.0</v>
      </c>
      <c r="O279" s="402">
        <f>IF(N274&gt;(20/72)-0.08,30,29)</f>
        <v>29.0</v>
      </c>
      <c r="P279" s="322"/>
      <c r="Q279" s="322"/>
      <c r="R279" s="627"/>
      <c r="S279" s="627"/>
      <c r="T279" s="793" t="s">
        <v>16</v>
      </c>
      <c r="U279" s="793">
        <f>Calculadora!$B$2</f>
        <v>0.95</v>
      </c>
      <c r="V279" s="808">
        <f>V274*(U279-U275)*(U279-U276)*(U279-U277)*(U279-U278)/((U274-U275)*(U274-U276)*(U274-U277)*(U274-U278))+V275*(U279-U274)*(U279-U276)*(U279-U277)*(U279-U278)/((U275-U274)*(U275-U276)*(U275-U277)*(U275-U278))+V276*(U279-U274)*(U279-U275)*(U279-U277)*(U279-U278)/((U276-U274)*(U276-U275)*(U276-U277)*(U276-U278))+V277*(U279-U274)*(U279-U275)*(U279-U276)*(U279-U278)/((U277-U274)*(U277-U275)*(U277-U276)*(U277-U278))+V278*(U279-U274)*(U279-U275)*(U279-U276)*(U279-U277)/((U278-U274)*(U278-U275)*(U278-U276)*(U278-U277))</f>
        <v>0.416491686911513</v>
      </c>
      <c r="X279" s="793" t="s">
        <v>16</v>
      </c>
      <c r="Y279" s="793">
        <f>Calculadora!$B$2</f>
        <v>0.95</v>
      </c>
      <c r="Z279" s="808">
        <f>Z274*(Y279-Y275)*(Y279-Y276)*(Y279-Y277)*(Y279-Y278)/((Y274-Y275)*(Y274-Y276)*(Y274-Y277)*(Y274-Y278))+Z275*(Y279-Y274)*(Y279-Y276)*(Y279-Y277)*(Y279-Y278)/((Y275-Y274)*(Y275-Y276)*(Y275-Y277)*(Y275-Y278))+Z276*(Y279-Y274)*(Y279-Y275)*(Y279-Y277)*(Y279-Y278)/((Y276-Y274)*(Y276-Y275)*(Y276-Y277)*(Y276-Y278))+Z277*(Y279-Y274)*(Y279-Y275)*(Y279-Y276)*(Y279-Y278)/((Y277-Y274)*(Y277-Y275)*(Y277-Y276)*(Y277-Y278))+Z278*(Y279-Y274)*(Y279-Y275)*(Y279-Y276)*(Y279-Y277)/((Y278-Y274)*(Y278-Y275)*(Y278-Y276)*(Y278-Y277))</f>
        <v>-0.9845008776342006</v>
      </c>
      <c r="AA279" s="322"/>
      <c r="AB279" s="322"/>
      <c r="AC279" s="322"/>
      <c r="AD279" s="322"/>
    </row>
    <row r="280" spans="8:8" customHeight="1">
      <c r="A280" s="672"/>
      <c r="B280" s="672"/>
      <c r="C280" s="672"/>
      <c r="D280" s="636"/>
      <c r="E280" s="636"/>
      <c r="F280" s="322"/>
      <c r="G280" s="322"/>
      <c r="H280" s="322"/>
      <c r="I280" s="322"/>
      <c r="J280" s="322"/>
      <c r="K280" s="322">
        <v>1.0138</v>
      </c>
      <c r="L280" s="322"/>
      <c r="M280" s="322"/>
      <c r="N280" s="322"/>
      <c r="O280" s="322"/>
      <c r="P280" s="322"/>
      <c r="Q280" s="322"/>
      <c r="R280" s="627"/>
      <c r="S280" s="627"/>
      <c r="V280" s="322"/>
      <c r="W280" s="322"/>
      <c r="X280" s="322"/>
      <c r="Y280" s="322"/>
      <c r="Z280" s="322"/>
      <c r="AA280" s="322"/>
      <c r="AB280" s="322"/>
      <c r="AC280" s="322"/>
      <c r="AD280" s="322"/>
    </row>
    <row r="281" spans="8:8" customHeight="1">
      <c r="A281" s="597"/>
      <c r="B281" s="598"/>
      <c r="C281" s="598"/>
      <c r="D281" s="598"/>
      <c r="E281" s="598"/>
      <c r="F281" s="598"/>
      <c r="G281" s="598"/>
      <c r="H281" s="598"/>
      <c r="I281" s="598"/>
      <c r="J281" s="598"/>
      <c r="K281" s="598"/>
      <c r="L281" s="598"/>
      <c r="M281" s="598"/>
      <c r="N281" s="598"/>
      <c r="O281" s="598"/>
      <c r="P281" s="598"/>
      <c r="Q281" s="598"/>
      <c r="R281" s="598"/>
      <c r="S281" s="598"/>
      <c r="T281" s="598"/>
      <c r="U281" s="598"/>
      <c r="V281" s="598"/>
      <c r="W281" s="598"/>
      <c r="X281" s="598"/>
      <c r="Y281" s="599"/>
      <c r="Z281" s="322"/>
      <c r="AA281" s="322"/>
      <c r="AB281" s="322"/>
      <c r="AC281" s="322"/>
      <c r="AD281" s="322"/>
    </row>
    <row r="282" spans="8:8" customHeight="1">
      <c r="A282" s="648"/>
      <c r="B282" s="648"/>
      <c r="C282" s="648"/>
      <c r="D282" s="648"/>
      <c r="E282" s="648"/>
      <c r="F282" s="601"/>
      <c r="G282" s="601"/>
      <c r="H282" s="601"/>
      <c r="I282" s="601"/>
      <c r="J282" s="601"/>
      <c r="K282" s="601"/>
      <c r="L282" s="601"/>
      <c r="M282" s="601"/>
      <c r="N282" s="601"/>
      <c r="O282" s="601"/>
      <c r="P282" s="601"/>
      <c r="Q282" s="627"/>
      <c r="R282" s="627"/>
      <c r="S282" s="627"/>
      <c r="V282" s="322"/>
      <c r="W282" s="322"/>
      <c r="X282" s="322"/>
      <c r="Y282" s="322"/>
      <c r="Z282" s="322"/>
      <c r="AA282" s="322"/>
      <c r="AB282" s="322"/>
      <c r="AC282" s="322"/>
      <c r="AD282" s="322"/>
    </row>
    <row r="283" spans="8:8" customHeight="1">
      <c r="A283" s="336" t="s">
        <v>26</v>
      </c>
      <c r="B283" s="636"/>
      <c r="C283" s="636"/>
      <c r="D283" s="636"/>
      <c r="E283" s="636"/>
      <c r="F283" s="322"/>
      <c r="G283" s="322"/>
      <c r="H283" s="322"/>
      <c r="I283" s="838"/>
      <c r="J283" s="322"/>
      <c r="K283" s="322"/>
      <c r="L283" s="322"/>
      <c r="M283" s="322"/>
      <c r="N283" s="322"/>
      <c r="O283" s="322"/>
      <c r="P283" s="322"/>
      <c r="T283" s="793" t="s">
        <v>7</v>
      </c>
      <c r="U283" s="793">
        <v>1.0</v>
      </c>
      <c r="V283" s="815">
        <v>0.48</v>
      </c>
      <c r="W283" s="322"/>
      <c r="X283" s="322"/>
      <c r="Y283" s="322"/>
      <c r="Z283" s="322"/>
      <c r="AA283" s="322"/>
      <c r="AB283" s="322"/>
      <c r="AC283" s="322"/>
      <c r="AD283" s="322"/>
    </row>
    <row r="284" spans="8:8" customHeight="1">
      <c r="A284" s="336" t="s">
        <v>32</v>
      </c>
      <c r="B284" s="611">
        <v>1.0</v>
      </c>
      <c r="C284" s="829">
        <v>0.975</v>
      </c>
      <c r="D284" s="611">
        <v>0.95</v>
      </c>
      <c r="E284" s="829">
        <v>0.925</v>
      </c>
      <c r="F284" s="338" t="s">
        <v>77</v>
      </c>
      <c r="G284" s="322"/>
      <c r="H284" s="322"/>
      <c r="I284" s="584" t="s">
        <v>93</v>
      </c>
      <c r="J284" s="578"/>
      <c r="K284" s="323" t="e">
        <f>B286*(M290-C285)*(M290-D285)*(M290-E285)*(M290-B288)/((B285-C285)*(B285-D285)*(B285-E285)*(B285-B288))+C286*(M290-B285)*(M290-D285)*(M290-E285)*(M290-B288)/((C285-B285)*(C285-D285)*(C285-E285)*(C285-B288))+D286*(M290-B285)*(M290-C285)*(M290-E285)*(M290-B288)/((D285-B285)*(D285-C285)*(D285-E285)*(D285-B288))+E286*(M290-B285)*(M290-C285)*(M290-D285)*(M290-B288)/((E285-B285)*(E285-C285)*(E285-D285)*(E285-B288))+B289*(M290-B285)*(M290-C285)*(M290-D285)*(M290-E285)/((B288-B285)*(B288-C285)*(B288-D285)*(B288-E285))</f>
        <v>#DIV/0!</v>
      </c>
      <c r="L284" s="584" t="s">
        <v>77</v>
      </c>
      <c r="M284" s="584" t="e">
        <f>IF(M290&lt;(B285+0.0001),K284,K286)</f>
        <v>#DIV/0!</v>
      </c>
      <c r="N284" s="322"/>
      <c r="O284" s="584" t="s">
        <v>14</v>
      </c>
      <c r="P284" s="322"/>
      <c r="Q284" s="322"/>
      <c r="R284" s="322"/>
      <c r="S284" s="322"/>
      <c r="T284" s="793" t="s">
        <v>7</v>
      </c>
      <c r="U284" s="793">
        <v>5.0</v>
      </c>
      <c r="V284" s="815">
        <v>0.49</v>
      </c>
      <c r="X284" s="322"/>
      <c r="Y284" s="322"/>
      <c r="Z284" s="322"/>
      <c r="AA284" s="322"/>
      <c r="AB284" s="322"/>
      <c r="AC284" s="322"/>
      <c r="AD284" s="322"/>
    </row>
    <row r="285" spans="8:8" customHeight="1">
      <c r="A285" s="637" t="s">
        <v>114</v>
      </c>
      <c r="B285" s="337">
        <v>384.65</v>
      </c>
      <c r="C285" s="757"/>
      <c r="D285" s="337"/>
      <c r="E285" s="337"/>
      <c r="F285" s="352" t="s">
        <v>87</v>
      </c>
      <c r="G285" s="353" t="e">
        <f>M284*$AA$1*Calculadora!$B$3</f>
        <v>#DIV/0!</v>
      </c>
      <c r="H285" s="322"/>
      <c r="I285" s="352"/>
      <c r="J285" s="354"/>
      <c r="K285" s="578"/>
      <c r="L285" s="584" t="s">
        <v>7</v>
      </c>
      <c r="M285" s="355">
        <f>L297*POWER(K297,(B285-M290))</f>
        <v>2.429935663548004</v>
      </c>
      <c r="N285" s="322"/>
      <c r="O285" s="824">
        <f>B285</f>
        <v>384.65</v>
      </c>
      <c r="P285" s="370">
        <v>3.8</v>
      </c>
      <c r="Q285" s="357">
        <v>3.5</v>
      </c>
      <c r="T285" s="793" t="s">
        <v>7</v>
      </c>
      <c r="U285" s="793">
        <v>10.0</v>
      </c>
      <c r="V285" s="815">
        <v>0.5</v>
      </c>
      <c r="X285" s="322"/>
      <c r="Y285" s="322"/>
      <c r="Z285" s="322"/>
      <c r="AA285" s="322"/>
      <c r="AB285" s="322"/>
      <c r="AC285" s="322"/>
      <c r="AD285" s="322"/>
    </row>
    <row r="286" spans="8:8" customHeight="1">
      <c r="A286" s="643" t="s">
        <v>77</v>
      </c>
      <c r="B286" s="395">
        <v>1.6002</v>
      </c>
      <c r="C286" s="839"/>
      <c r="D286" s="395"/>
      <c r="E286" s="840"/>
      <c r="F286" s="366" t="s">
        <v>88</v>
      </c>
      <c r="G286" s="367" t="e">
        <f>IF(G292&gt;0,G285*M287,G285*M288)</f>
        <v>#DIV/0!</v>
      </c>
      <c r="H286" s="322"/>
      <c r="I286" s="366" t="s">
        <v>94</v>
      </c>
      <c r="J286" s="368" t="e">
        <f>M284*Calculadora!$B$3*$AA$2</f>
        <v>#DIV/0!</v>
      </c>
      <c r="K286" s="578">
        <f>A288*(M290-B285)*(M290-D285)/((A287-B285)*(A287-D285))+B286*(M290-A287)*(M290-D285)/((B285-A287)*(B285-D285))+D286*(M290-A287)*(M290-B285)/((D285-A287)*(D285-B285))</f>
        <v>-0.105409365694396</v>
      </c>
      <c r="L286" s="584" t="s">
        <v>8</v>
      </c>
      <c r="M286" s="355">
        <f>L298*POWER(K298,(B285-M290))</f>
        <v>1.9537453626952983</v>
      </c>
      <c r="N286" s="322"/>
      <c r="O286" s="824">
        <f>C285</f>
        <v>0.0</v>
      </c>
      <c r="P286" s="827">
        <v>3.6</v>
      </c>
      <c r="Q286" s="828">
        <v>3.4</v>
      </c>
      <c r="T286" s="793" t="s">
        <v>7</v>
      </c>
      <c r="U286" s="793">
        <v>15.0</v>
      </c>
      <c r="V286" s="815">
        <v>0.505</v>
      </c>
      <c r="X286" s="322"/>
      <c r="Y286" s="322"/>
      <c r="Z286" s="322"/>
      <c r="AA286" s="322"/>
      <c r="AB286" s="322"/>
      <c r="AC286" s="322"/>
      <c r="AD286" s="322"/>
    </row>
    <row r="287" spans="8:8" customHeight="1">
      <c r="A287" s="672">
        <v>390.0</v>
      </c>
      <c r="B287" s="841">
        <v>0.9</v>
      </c>
      <c r="C287" s="627"/>
      <c r="D287" s="626"/>
      <c r="E287" s="626"/>
      <c r="F287" s="366" t="s">
        <v>89</v>
      </c>
      <c r="G287" s="367" t="e">
        <f>G286*J290</f>
        <v>#DIV/0!</v>
      </c>
      <c r="H287" s="593" t="e">
        <f>(G287/(Calculadora!$B$3*$AA$1))*Calculadora!$B$5/4</f>
        <v>#DIV/0!</v>
      </c>
      <c r="I287" s="366"/>
      <c r="J287" s="368"/>
      <c r="K287" s="578"/>
      <c r="L287" s="584" t="s">
        <v>9</v>
      </c>
      <c r="M287" s="355" t="e">
        <f>IF((M290&gt;0),((100+(G292/-J297))/100))</f>
        <v>#DIV/0!</v>
      </c>
      <c r="N287" s="322"/>
      <c r="O287" s="824">
        <f>D285</f>
        <v>0.0</v>
      </c>
      <c r="P287" s="827">
        <v>3.5</v>
      </c>
      <c r="Q287" s="828">
        <v>3.3</v>
      </c>
      <c r="T287" s="793" t="s">
        <v>7</v>
      </c>
      <c r="U287" s="793">
        <v>20.0</v>
      </c>
      <c r="V287" s="815">
        <v>0.51</v>
      </c>
      <c r="W287" s="322"/>
      <c r="X287" s="322"/>
      <c r="Y287" s="322"/>
      <c r="Z287" s="322"/>
      <c r="AA287" s="322"/>
      <c r="AB287" s="322"/>
      <c r="AC287" s="322"/>
      <c r="AD287" s="322"/>
    </row>
    <row r="288" spans="8:8" customHeight="1">
      <c r="A288" s="672">
        <v>1.7</v>
      </c>
      <c r="B288" s="842"/>
      <c r="C288" s="627"/>
      <c r="D288" s="626"/>
      <c r="E288" s="626"/>
      <c r="F288" s="388" t="s">
        <v>90</v>
      </c>
      <c r="G288" s="389" t="e">
        <f>G286/J291</f>
        <v>#DIV/0!</v>
      </c>
      <c r="H288" s="593" t="e">
        <f>(G288/(Calculadora!$B$3*$AA$1))*Calculadora!$B$5/4</f>
        <v>#DIV/0!</v>
      </c>
      <c r="I288" s="366" t="s">
        <v>97</v>
      </c>
      <c r="J288" s="368" t="e">
        <f>$AT$1*Calculadora!$B$3*M284*0.98*(1-(G292*0.016))</f>
        <v>#DIV/0!</v>
      </c>
      <c r="K288" s="578"/>
      <c r="L288" s="584" t="s">
        <v>10</v>
      </c>
      <c r="M288" s="355" t="e">
        <f>IF((M290&gt;0),((100+(G292/-J298))/100))</f>
        <v>#DIV/0!</v>
      </c>
      <c r="N288" s="322"/>
      <c r="O288" s="830">
        <f>E285</f>
        <v>0.0</v>
      </c>
      <c r="P288" s="831">
        <v>3.4</v>
      </c>
      <c r="Q288" s="832">
        <v>3.2</v>
      </c>
      <c r="T288" s="793" t="s">
        <v>12</v>
      </c>
      <c r="U288" s="793">
        <f>Calculadora!$B$2</f>
        <v>0.95</v>
      </c>
      <c r="V288" s="808">
        <f>V283*(U288-U284)*(U288-U285)*(U288-U286)*(U288-U287)/((U283-U284)*(U283-U285)*(U283-U286)*(U283-U287))+V284*(U288-U283)*(U288-U285)*(U288-U286)*(U288-U287)/((U284-U283)*(U284-U285)*(U284-U286)*(U284-U287))+V285*(U288-U283)*(U288-U284)*(U288-U286)*(U288-U287)/((U285-U283)*(U285-U284)*(U285-U286)*(U285-U287))+V286*(U288-U283)*(U288-U284)*(U288-U285)*(U288-U287)/((U286-U283)*(U286-U284)*(U286-U285)*(U286-U287))+V287*(U288-U283)*(U288-U284)*(U288-U285)*(U288-U286)/((U287-U283)*(U287-U284)*(U287-U285)*(U287-U286))</f>
        <v>0.4798829045291349</v>
      </c>
      <c r="W288" s="322"/>
      <c r="X288" s="322"/>
      <c r="Y288" s="322"/>
      <c r="Z288" s="322"/>
      <c r="AA288" s="322"/>
      <c r="AB288" s="322"/>
      <c r="AC288" s="322"/>
      <c r="AD288" s="322"/>
    </row>
    <row r="289" spans="8:8" customHeight="1">
      <c r="A289" s="672"/>
      <c r="B289" s="835"/>
      <c r="C289" s="627"/>
      <c r="D289" s="626"/>
      <c r="E289" s="626"/>
      <c r="F289" s="322"/>
      <c r="G289" s="322"/>
      <c r="H289" s="322"/>
      <c r="I289" s="366" t="s">
        <v>98</v>
      </c>
      <c r="J289" s="368" t="e">
        <f>$AT$1*Calculadora!$B$3*M284*1.26*(1-(G292*0.016))</f>
        <v>#DIV/0!</v>
      </c>
      <c r="K289" s="578"/>
      <c r="L289" s="584" t="s">
        <v>105</v>
      </c>
      <c r="M289" s="584" t="e">
        <f>M284/4.05*Calculadora!$B$5</f>
        <v>#DIV/0!</v>
      </c>
      <c r="N289" s="322"/>
      <c r="O289" s="830">
        <f>B288</f>
        <v>0.0</v>
      </c>
      <c r="P289" s="833">
        <v>3.3</v>
      </c>
      <c r="Q289" s="834">
        <v>3.1</v>
      </c>
      <c r="W289" s="322"/>
      <c r="X289" s="322"/>
      <c r="AA289" s="322"/>
      <c r="AB289" s="322"/>
      <c r="AC289" s="322"/>
      <c r="AD289" s="322"/>
    </row>
    <row r="290" spans="8:8" customHeight="1">
      <c r="A290" s="672"/>
      <c r="B290" s="672"/>
      <c r="C290" s="672"/>
      <c r="D290" s="636"/>
      <c r="E290" s="636"/>
      <c r="F290" s="338" t="s">
        <v>91</v>
      </c>
      <c r="G290" s="322"/>
      <c r="H290" s="322"/>
      <c r="I290" s="366" t="s">
        <v>99</v>
      </c>
      <c r="J290" s="368" t="e">
        <f>(100+(J288*2.75/-4))/100</f>
        <v>#DIV/0!</v>
      </c>
      <c r="K290" s="578"/>
      <c r="L290" s="584" t="s">
        <v>106</v>
      </c>
      <c r="M290" s="584">
        <f>$U$13</f>
        <v>261.88</v>
      </c>
      <c r="N290" s="322"/>
      <c r="O290" s="358">
        <f>K293</f>
        <v>264.1884388803706</v>
      </c>
      <c r="P290" s="836" t="e">
        <f>P285*(O290-O286)*(O290-O287)*(O290-O288)*(O290-O289)/((O285-O286)*(O285-O287)*(O285-O288)*(O285-O289))+P286*(O290-O285)*(O290-O287)*(O290-O288)*(O290-O289)/((O286-O285)*(O286-O287)*(O286-O288)*(O286-O289))+P287*(O290-O285)*(O290-O286)*(O290-O288)*(O290-O289)/((O287-O285)*(O287-O286)*(O287-O288)*(O287-O289))+P288*(O290-O285)*(O290-O286)*(O290-O287)*(O290-O289)/((O288-O285)*(O288-O286)*(O288-O287)*(O288-O289))+P289*(O290-O285)*(O290-O286)*(O290-O287)*(O290-O288)/((O289-O285)*(O289-O286)*(O289-O287)*(O289-O288))</f>
        <v>#DIV/0!</v>
      </c>
      <c r="Q290" s="836" t="e">
        <f>Q285*(O290-O286)*(O290-O287)*(O290-O288)*(O290-O289)/((O285-O286)*(O285-O287)*(O285-O288)*(O285-O289))+Q286*(O290-O285)*(O290-O287)*(O290-O288)*(O290-O289)/((O286-O285)*(O286-O287)*(O286-O288)*(O286-O289))+Q287*(O290-O285)*(O290-O286)*(O290-O288)*(O290-O289)/((O287-O285)*(O287-O286)*(O287-O288)*(O287-O289))+Q288*(O290-O285)*(O290-O286)*(O290-O287)*(O290-O289)/((O288-O285)*(O288-O286)*(O288-O287)*(O288-O289))+Q289*(O290-O285)*(O290-O286)*(O290-O287)*(O290-O288)/((O289-O285)*(O289-O286)*(O289-O287)*(O289-O288))</f>
        <v>#DIV/0!</v>
      </c>
      <c r="W290" s="322"/>
      <c r="X290" s="322"/>
      <c r="AA290" s="322"/>
      <c r="AB290" s="322"/>
      <c r="AC290" s="322"/>
      <c r="AD290" s="322"/>
    </row>
    <row r="291" spans="8:8" customHeight="1">
      <c r="A291" s="672"/>
      <c r="B291" s="672"/>
      <c r="C291" s="672"/>
      <c r="D291" s="636"/>
      <c r="E291" s="636"/>
      <c r="F291" s="352"/>
      <c r="G291" s="354"/>
      <c r="H291" s="322"/>
      <c r="I291" s="388" t="s">
        <v>100</v>
      </c>
      <c r="J291" s="402" t="e">
        <f>(100+(J289*4/-6.25))/100</f>
        <v>#DIV/0!</v>
      </c>
      <c r="K291" s="578"/>
      <c r="L291" s="322"/>
      <c r="M291" s="322"/>
      <c r="N291" s="322"/>
      <c r="O291" s="322"/>
      <c r="P291" s="322"/>
      <c r="W291" s="322"/>
      <c r="X291" s="322"/>
      <c r="AA291" s="322"/>
      <c r="AB291" s="322"/>
      <c r="AC291" s="322"/>
      <c r="AD291" s="322"/>
    </row>
    <row r="292" spans="8:8" customHeight="1">
      <c r="A292" s="672"/>
      <c r="B292" s="672"/>
      <c r="C292" s="672"/>
      <c r="D292" s="636"/>
      <c r="E292" s="636"/>
      <c r="F292" s="366" t="s">
        <v>92</v>
      </c>
      <c r="G292" s="368">
        <f>IF(Calculadora!$B$2&gt;0,Calculadora!$B$2*M285,Calculadora!$B$2*M286)</f>
        <v>2.3084388803706037</v>
      </c>
      <c r="H292" s="322"/>
      <c r="I292" s="578"/>
      <c r="J292" s="578"/>
      <c r="L292" s="322"/>
      <c r="M292" s="584" t="s">
        <v>17</v>
      </c>
      <c r="N292" s="619"/>
      <c r="O292" s="354"/>
      <c r="P292" s="322"/>
      <c r="T292" s="843"/>
      <c r="U292" s="843"/>
      <c r="V292" s="578"/>
      <c r="W292" s="322"/>
      <c r="X292" s="322"/>
      <c r="AA292" s="322"/>
      <c r="AB292" s="322"/>
      <c r="AC292" s="322"/>
      <c r="AD292" s="322"/>
    </row>
    <row r="293" spans="8:8" customHeight="1">
      <c r="A293" s="672">
        <v>390.0</v>
      </c>
      <c r="B293" s="672">
        <v>384.65</v>
      </c>
      <c r="C293" s="672">
        <f>A293/B293</f>
        <v>1.013908748212661</v>
      </c>
      <c r="D293" s="636"/>
      <c r="E293" s="636"/>
      <c r="F293" s="388"/>
      <c r="G293" s="402"/>
      <c r="H293" s="322"/>
      <c r="I293" s="352" t="s">
        <v>103</v>
      </c>
      <c r="J293" s="415" t="e">
        <f>M290+G292-J288</f>
        <v>#DIV/0!</v>
      </c>
      <c r="K293" s="620">
        <f>M290+G292</f>
        <v>264.1884388803706</v>
      </c>
      <c r="L293" s="322"/>
      <c r="M293" s="366" t="e">
        <f>MOD(F297,20/72)</f>
        <v>#DIV/0!</v>
      </c>
      <c r="N293" s="621" t="e">
        <f>MOD(F298,20/72)</f>
        <v>#DIV/0!</v>
      </c>
      <c r="O293" s="368"/>
      <c r="P293" s="322"/>
      <c r="T293" s="793" t="s">
        <v>13</v>
      </c>
      <c r="U293" s="793">
        <v>-1.0</v>
      </c>
      <c r="V293" s="793">
        <v>0.433</v>
      </c>
      <c r="W293" s="322"/>
      <c r="X293" s="793" t="s">
        <v>13</v>
      </c>
      <c r="Y293" s="844">
        <v>-40.0</v>
      </c>
      <c r="Z293" s="793">
        <v>0.405</v>
      </c>
      <c r="AA293" s="322"/>
      <c r="AB293" s="322"/>
      <c r="AC293" s="322"/>
      <c r="AD293" s="322"/>
    </row>
    <row r="294" spans="8:8" customHeight="1">
      <c r="A294" s="672">
        <v>1.7</v>
      </c>
      <c r="B294" s="672">
        <v>1.6002</v>
      </c>
      <c r="C294" s="672">
        <f>A294/B294</f>
        <v>1.0623672040994876</v>
      </c>
      <c r="D294" s="636"/>
      <c r="E294" s="636"/>
      <c r="F294" s="578"/>
      <c r="G294" s="578"/>
      <c r="H294" s="322"/>
      <c r="I294" s="388" t="s">
        <v>104</v>
      </c>
      <c r="J294" s="423" t="e">
        <f>M290+G292+J289</f>
        <v>#DIV/0!</v>
      </c>
      <c r="K294" s="322"/>
      <c r="L294" s="322"/>
      <c r="M294" s="366" t="e">
        <f>M293/(20/72)</f>
        <v>#DIV/0!</v>
      </c>
      <c r="N294" s="621" t="e">
        <f>N293/(20/72)</f>
        <v>#DIV/0!</v>
      </c>
      <c r="O294" s="368"/>
      <c r="P294" s="322"/>
      <c r="T294" s="793" t="s">
        <v>13</v>
      </c>
      <c r="U294" s="793">
        <v>-10.0</v>
      </c>
      <c r="V294" s="793">
        <v>0.425</v>
      </c>
      <c r="W294" s="322"/>
      <c r="X294" s="793" t="s">
        <v>13</v>
      </c>
      <c r="Y294" s="844">
        <v>-50.0</v>
      </c>
      <c r="Z294" s="793">
        <v>0.395</v>
      </c>
      <c r="AA294" s="322"/>
      <c r="AB294" s="322"/>
      <c r="AC294" s="322"/>
      <c r="AD294" s="322"/>
    </row>
    <row r="295" spans="8:8" customHeight="1">
      <c r="A295" s="672"/>
      <c r="B295" s="672"/>
      <c r="C295" s="672"/>
      <c r="D295" s="636"/>
      <c r="E295" s="636"/>
      <c r="F295" s="322"/>
      <c r="G295" s="322"/>
      <c r="H295" s="322"/>
      <c r="I295" s="322"/>
      <c r="J295" s="322"/>
      <c r="K295" s="322"/>
      <c r="L295" s="322"/>
      <c r="M295" s="366" t="e">
        <f>IF(M294&lt;0.288,ROUNDDOWN(M294,0),ROUNDUP(M294,0))</f>
        <v>#DIV/0!</v>
      </c>
      <c r="N295" s="621" t="e">
        <f>IF(N294&lt;0.288,ROUNDDOWN(N294,0),ROUNDUP(N294,0))</f>
        <v>#DIV/0!</v>
      </c>
      <c r="O295" s="368"/>
      <c r="P295" s="322"/>
      <c r="T295" s="793" t="s">
        <v>13</v>
      </c>
      <c r="U295" s="793">
        <v>-20.0</v>
      </c>
      <c r="V295" s="793">
        <v>0.411</v>
      </c>
      <c r="W295" s="322"/>
      <c r="X295" s="793" t="s">
        <v>13</v>
      </c>
      <c r="Y295" s="793">
        <v>-60.0</v>
      </c>
      <c r="Z295" s="793">
        <v>0.395</v>
      </c>
      <c r="AA295" s="322"/>
      <c r="AB295" s="322"/>
      <c r="AC295" s="322"/>
      <c r="AD295" s="322"/>
    </row>
    <row r="296" spans="8:8" customHeight="1">
      <c r="A296" s="672"/>
      <c r="B296" s="672"/>
      <c r="C296" s="672"/>
      <c r="D296" s="636"/>
      <c r="E296" s="637" t="s">
        <v>95</v>
      </c>
      <c r="F296" s="605" t="s">
        <v>115</v>
      </c>
      <c r="G296" s="584" t="s">
        <v>77</v>
      </c>
      <c r="H296" s="584" t="s">
        <v>18</v>
      </c>
      <c r="I296" s="322"/>
      <c r="J296" s="584" t="s">
        <v>14</v>
      </c>
      <c r="K296" s="584" t="s">
        <v>78</v>
      </c>
      <c r="L296" s="584" t="s">
        <v>15</v>
      </c>
      <c r="M296" s="366"/>
      <c r="N296" s="621"/>
      <c r="O296" s="368"/>
      <c r="P296" s="322"/>
      <c r="T296" s="793" t="s">
        <v>13</v>
      </c>
      <c r="U296" s="793">
        <v>-30.0</v>
      </c>
      <c r="V296" s="815">
        <v>0.41</v>
      </c>
      <c r="W296" s="322"/>
      <c r="X296" s="793" t="s">
        <v>13</v>
      </c>
      <c r="Y296" s="793">
        <v>-70.0</v>
      </c>
      <c r="Z296" s="815">
        <v>0.39</v>
      </c>
      <c r="AA296" s="322"/>
      <c r="AB296" s="322"/>
      <c r="AC296" s="322"/>
      <c r="AD296" s="322"/>
    </row>
    <row r="297" spans="8:8" customHeight="1">
      <c r="A297" s="672"/>
      <c r="B297" s="672"/>
      <c r="C297" s="672"/>
      <c r="D297" s="637" t="s">
        <v>101</v>
      </c>
      <c r="E297" s="638" t="e">
        <f>IF(M295=0,INDEX(Caliper!$G$291:$G$363,(ROUNDDOWN(((F297-80)/(20/72)+1),0)),1),INDEX(Caliper!$G$291:$G$363,(ROUNDUP(((F297-80)/(20/72))+1,0)),1))</f>
        <v>#DIV/0!</v>
      </c>
      <c r="F297" s="837" t="e">
        <f>100*(J293-C285)*(J293-D285)*(J293-E285)*(J293-B288)/((B285-C285)*(B285-D285)*(B285-E285)*(B285-B288))+97.5*(J293-B285)*(J293-D285)*(J293-E285)*(J293-B288)/((C285-B285)*(C285-D285)*(C285-E285)*(C285-B288))+95*(J293-B285)*(J293-C285)*(J293-E285)*(J293-B288)/((D285-B285)*(D285-C285)*(D285-E285)*(D285-B288))+92.5*(J293-B285)*(J293-C285)*(J293-D285)*(J293-B288)/((E285-B285)*(E285-C285)*(E285-D285)*(E285-B288))+90*(J293-B285)*(J293-C285)*(J293-D285)*(J293-E285)/((B288-B285)*(B288-C285)*(B288-D285)*(B288-E285))</f>
        <v>#DIV/0!</v>
      </c>
      <c r="G297" s="446" t="e">
        <f>G287+H287</f>
        <v>#DIV/0!</v>
      </c>
      <c r="H297" s="584" t="e">
        <f>N297</f>
        <v>#DIV/0!</v>
      </c>
      <c r="I297" s="584" t="s">
        <v>7</v>
      </c>
      <c r="J297" s="355" t="e">
        <f>P290</f>
        <v>#DIV/0!</v>
      </c>
      <c r="K297" s="584">
        <v>1.0133</v>
      </c>
      <c r="L297" s="355">
        <f>V288</f>
        <v>0.4798829045291349</v>
      </c>
      <c r="M297" s="338" t="s">
        <v>19</v>
      </c>
      <c r="N297" s="352" t="e">
        <f>IF(M293&lt;0.08,30,N298)</f>
        <v>#DIV/0!</v>
      </c>
      <c r="O297" s="354" t="e">
        <f>IF(N293&lt;0.08,30,O298)</f>
        <v>#DIV/0!</v>
      </c>
      <c r="P297" s="322"/>
      <c r="Q297" s="626"/>
      <c r="R297" s="322"/>
      <c r="S297" s="322"/>
      <c r="T297" s="793" t="s">
        <v>13</v>
      </c>
      <c r="U297" s="793">
        <v>-40.0</v>
      </c>
      <c r="V297" s="815">
        <v>0.4</v>
      </c>
      <c r="W297" s="322"/>
      <c r="X297" s="793" t="s">
        <v>13</v>
      </c>
      <c r="Y297" s="793">
        <v>-80.0</v>
      </c>
      <c r="Z297" s="815">
        <v>0.385</v>
      </c>
      <c r="AA297" s="322"/>
      <c r="AB297" s="322"/>
      <c r="AC297" s="322"/>
      <c r="AD297" s="322"/>
    </row>
    <row r="298" spans="8:8" customHeight="1">
      <c r="A298" s="672"/>
      <c r="B298" s="672"/>
      <c r="C298" s="672"/>
      <c r="D298" s="637" t="s">
        <v>102</v>
      </c>
      <c r="E298" s="638" t="e">
        <f>IF(N295=0,INDEX(Caliper!$G$291:$G$363,(ROUNDDOWN(((F298-80)/(20/72)+1),0)),1),INDEX(Caliper!$G$291:$G$363,(ROUNDUP(((F298-80)/(20/72))+1,0)),1))</f>
        <v>#DIV/0!</v>
      </c>
      <c r="F298" s="837" t="e">
        <f>100*(J294-C285)*(J294-D285)*(J294-E285)*(J294-B288)/((B285-C285)*(B285-D285)*(B285-E285)*(B285-B288))+97.5*(J294-B285)*(J294-D285)*(J294-E285)*(J294-B288)/((C285-B285)*(C285-D285)*(C285-E285)*(C285-B288))+95*(J294-B285)*(J294-C285)*(J294-E285)*(J294-B288)/((D285-B285)*(D285-C285)*(D285-E285)*(D285-B288))+92.5*(J294-B285)*(J294-C285)*(J294-D285)*(J294-B288)/((E285-B285)*(E285-C285)*(E285-D285)*(E285-B288))+90*(J294-B285)*(J294-C285)*(J294-D285)*(J294-E285)/((B288-B285)*(B288-C285)*(B288-D285)*(B288-E285))</f>
        <v>#DIV/0!</v>
      </c>
      <c r="G298" s="446" t="e">
        <f>G288+H288</f>
        <v>#DIV/0!</v>
      </c>
      <c r="H298" s="584" t="e">
        <f>O297</f>
        <v>#DIV/0!</v>
      </c>
      <c r="I298" s="584" t="s">
        <v>13</v>
      </c>
      <c r="J298" s="355" t="e">
        <f>Q290</f>
        <v>#DIV/0!</v>
      </c>
      <c r="K298" s="584">
        <f>IF(U298&gt;U297,1.0124,K299)</f>
        <v>1.0124</v>
      </c>
      <c r="L298" s="355">
        <f>IF(Calculadora!B2&gt;-39.99,CC!V298,CC!Z298)</f>
        <v>0.43031468167765397</v>
      </c>
      <c r="M298" s="425"/>
      <c r="N298" s="388" t="e">
        <f>IF(M293&gt;(20/72)-0.08,30,29)</f>
        <v>#DIV/0!</v>
      </c>
      <c r="O298" s="402" t="e">
        <f>IF(N293&gt;(20/72)-0.08,30,29)</f>
        <v>#DIV/0!</v>
      </c>
      <c r="P298" s="322"/>
      <c r="Q298" s="626"/>
      <c r="R298" s="322"/>
      <c r="S298" s="322"/>
      <c r="T298" s="793" t="s">
        <v>16</v>
      </c>
      <c r="U298" s="793">
        <f>Calculadora!$B$2</f>
        <v>0.95</v>
      </c>
      <c r="V298" s="808">
        <f>V293*(U298-U294)*(U298-U295)*(U298-U296)*(U298-U297)/((U293-U294)*(U293-U295)*(U293-U296)*(U293-U297))+V294*(U298-U293)*(U298-U295)*(U298-U296)*(U298-U297)/((U294-U293)*(U294-U295)*(U294-U296)*(U294-U297))+V295*(U298-U293)*(U298-U294)*(U298-U296)*(U298-U297)/((U295-U293)*(U295-U294)*(U295-U296)*(U295-U297))+V296*(U298-U293)*(U298-U294)*(U298-U295)*(U298-U297)/((U296-U293)*(U296-U294)*(U296-U295)*(U296-U297))+V297*(U298-U293)*(U298-U294)*(U298-U295)*(U298-U296)/((U297-U293)*(U297-U294)*(U297-U295)*(U297-U296))</f>
        <v>0.43031468167765397</v>
      </c>
      <c r="W298" s="322"/>
      <c r="X298" s="793" t="s">
        <v>16</v>
      </c>
      <c r="Y298" s="793">
        <f>Calculadora!$B$2</f>
        <v>0.95</v>
      </c>
      <c r="Z298" s="808">
        <f>Z293*(Y298-Y294)*(Y298-Y295)*(Y298-Y296)*(Y298-Y297)/((Y293-Y294)*(Y293-Y295)*(Y293-Y296)*(Y293-Y297))+Z294*(Y298-Y293)*(Y298-Y295)*(Y298-Y296)*(Y298-Y297)/((Y294-Y293)*(Y294-Y295)*(Y294-Y296)*(Y294-Y297))+Z295*(Y298-Y293)*(Y298-Y294)*(Y298-Y296)*(Y298-Y297)/((Y295-Y293)*(Y295-Y294)*(Y295-Y296)*(Y295-Y297))+Z296*(Y298-Y293)*(Y298-Y294)*(Y298-Y295)*(Y298-Y297)/((Y296-Y293)*(Y296-Y294)*(Y296-Y295)*(Y296-Y297))+Z297*(Y298-Y293)*(Y298-Y294)*(Y298-Y295)*(Y298-Y296)/((Y297-Y293)*(Y297-Y294)*(Y297-Y295)*(Y297-Y296))</f>
        <v>1.6200560548547003</v>
      </c>
      <c r="AA298" s="322"/>
      <c r="AB298" s="322"/>
      <c r="AC298" s="322"/>
      <c r="AD298" s="322"/>
    </row>
    <row r="299" spans="8:8" customHeight="1">
      <c r="K299" s="323">
        <v>1.0124</v>
      </c>
      <c r="T299" s="322"/>
      <c r="U299" s="322"/>
      <c r="V299" s="322"/>
      <c r="W299" s="322"/>
      <c r="X299" s="322"/>
      <c r="Y299" s="322"/>
      <c r="Z299" s="322"/>
      <c r="AA299" s="322"/>
      <c r="AB299" s="322"/>
      <c r="AC299" s="322"/>
      <c r="AD299" s="322"/>
    </row>
    <row r="300" spans="8:8" customHeight="1">
      <c r="A300" s="597"/>
      <c r="B300" s="598"/>
      <c r="C300" s="598"/>
      <c r="D300" s="598"/>
      <c r="E300" s="598"/>
      <c r="F300" s="598"/>
      <c r="G300" s="598"/>
      <c r="H300" s="598"/>
      <c r="I300" s="598"/>
      <c r="J300" s="598"/>
      <c r="K300" s="598"/>
      <c r="L300" s="598"/>
      <c r="M300" s="598"/>
      <c r="N300" s="598"/>
      <c r="O300" s="598"/>
      <c r="P300" s="598"/>
      <c r="Q300" s="598"/>
      <c r="R300" s="598"/>
      <c r="S300" s="598"/>
      <c r="T300" s="598"/>
      <c r="U300" s="598"/>
      <c r="V300" s="598"/>
      <c r="W300" s="598"/>
      <c r="X300" s="598"/>
      <c r="Y300" s="599"/>
      <c r="Z300" s="322"/>
      <c r="AA300" s="322"/>
      <c r="AB300" s="322"/>
      <c r="AC300" s="322"/>
      <c r="AD300" s="322"/>
    </row>
    <row r="301" spans="8:8" customHeight="1">
      <c r="A301" s="597"/>
      <c r="B301" s="598"/>
      <c r="C301" s="598"/>
      <c r="D301" s="598"/>
      <c r="E301" s="598"/>
      <c r="F301" s="598"/>
      <c r="G301" s="598"/>
      <c r="H301" s="598"/>
      <c r="I301" s="598"/>
      <c r="J301" s="598"/>
      <c r="K301" s="598"/>
      <c r="L301" s="598"/>
      <c r="M301" s="598"/>
      <c r="N301" s="598"/>
      <c r="O301" s="598"/>
      <c r="P301" s="598"/>
      <c r="Q301" s="598"/>
      <c r="R301" s="598"/>
      <c r="S301" s="598"/>
      <c r="T301" s="598"/>
      <c r="U301" s="598"/>
      <c r="V301" s="598"/>
      <c r="W301" s="598"/>
      <c r="X301" s="598"/>
      <c r="Y301" s="599"/>
      <c r="Z301" s="322"/>
      <c r="AA301" s="322"/>
      <c r="AB301" s="322"/>
      <c r="AC301" s="322"/>
      <c r="AD301" s="322"/>
    </row>
    <row r="302" spans="8:8" customHeight="1">
      <c r="A302" s="322"/>
      <c r="B302" s="322"/>
      <c r="C302" s="322"/>
      <c r="D302" s="322"/>
      <c r="E302" s="322"/>
      <c r="F302" s="322"/>
      <c r="T302" s="322"/>
      <c r="U302" s="322"/>
      <c r="V302" s="322"/>
      <c r="W302" s="322"/>
      <c r="X302" s="322"/>
      <c r="Y302" s="322"/>
      <c r="Z302" s="322"/>
      <c r="AA302" s="322"/>
      <c r="AB302" s="322"/>
      <c r="AC302" s="322"/>
      <c r="AD302" s="322"/>
    </row>
    <row r="303" spans="8:8" customHeight="1">
      <c r="A303" s="322"/>
      <c r="B303" s="322"/>
      <c r="C303" s="322"/>
      <c r="D303" s="322"/>
      <c r="E303" s="322"/>
      <c r="F303" s="322"/>
      <c r="G303" s="322"/>
      <c r="H303" s="322"/>
      <c r="I303" s="322"/>
      <c r="J303" s="322"/>
      <c r="K303" s="322"/>
      <c r="L303" s="322"/>
      <c r="M303" s="322"/>
      <c r="N303" s="322"/>
      <c r="O303" s="322"/>
      <c r="P303" s="322"/>
      <c r="Q303" s="322"/>
      <c r="R303" s="322"/>
      <c r="S303" s="322"/>
      <c r="V303" s="322"/>
      <c r="W303" s="322"/>
      <c r="X303" s="322"/>
      <c r="Y303" s="322"/>
      <c r="Z303" s="322"/>
      <c r="AA303" s="322"/>
      <c r="AB303" s="322"/>
      <c r="AC303" s="322"/>
      <c r="AD303" s="322"/>
    </row>
    <row r="304" spans="8:8" customHeight="1">
      <c r="A304" s="322"/>
      <c r="B304" s="322"/>
      <c r="C304" s="322"/>
      <c r="D304" s="322"/>
      <c r="E304" s="322"/>
      <c r="F304" s="322"/>
      <c r="G304" s="322"/>
      <c r="H304" s="322"/>
      <c r="I304" s="322"/>
      <c r="J304" s="322"/>
      <c r="K304" s="322"/>
      <c r="L304" s="322"/>
      <c r="M304" s="322"/>
      <c r="N304" s="322"/>
      <c r="O304" s="322"/>
      <c r="P304" s="322"/>
      <c r="Q304" s="322"/>
      <c r="R304" s="322"/>
      <c r="S304" s="322"/>
      <c r="V304" s="322"/>
      <c r="W304" s="322"/>
      <c r="X304" s="322"/>
      <c r="Y304" s="322"/>
      <c r="Z304" s="322"/>
      <c r="AA304" s="322"/>
      <c r="AB304" s="322"/>
      <c r="AC304" s="322"/>
      <c r="AD304" s="322"/>
    </row>
    <row r="305" spans="8:8" customHeight="1">
      <c r="A305" s="322"/>
      <c r="B305" s="322"/>
      <c r="C305" s="322"/>
      <c r="D305" s="322"/>
      <c r="E305" s="322"/>
      <c r="F305" s="322"/>
      <c r="G305" s="322"/>
      <c r="H305" s="322"/>
      <c r="I305" s="322"/>
      <c r="J305" s="322"/>
      <c r="K305" s="322"/>
      <c r="L305" s="322"/>
      <c r="M305" s="322"/>
      <c r="N305" s="322"/>
      <c r="O305" s="322"/>
      <c r="P305" s="322"/>
      <c r="Q305" s="322"/>
      <c r="R305" s="322"/>
      <c r="S305" s="322"/>
      <c r="V305" s="322"/>
      <c r="W305" s="322"/>
      <c r="X305" s="322"/>
      <c r="Y305" s="322"/>
      <c r="Z305" s="322"/>
      <c r="AA305" s="322"/>
      <c r="AB305" s="322"/>
      <c r="AC305" s="322"/>
      <c r="AD305" s="322"/>
    </row>
    <row r="306" spans="8:8" customHeight="1">
      <c r="A306" s="322"/>
      <c r="B306" s="322"/>
      <c r="C306" s="322"/>
      <c r="D306" s="322"/>
      <c r="E306" s="322"/>
      <c r="F306" s="322"/>
      <c r="G306" s="322"/>
      <c r="H306" s="322"/>
      <c r="I306" s="322"/>
      <c r="J306" s="322"/>
      <c r="K306" s="322"/>
      <c r="L306" s="322"/>
      <c r="M306" s="322"/>
      <c r="N306" s="322"/>
      <c r="O306" s="322"/>
      <c r="P306" s="322"/>
      <c r="Q306" s="322"/>
      <c r="R306" s="322"/>
      <c r="S306" s="322"/>
      <c r="V306" s="322"/>
      <c r="W306" s="322"/>
      <c r="X306" s="322"/>
      <c r="Y306" s="322"/>
      <c r="Z306" s="322"/>
      <c r="AA306" s="322"/>
      <c r="AB306" s="322"/>
      <c r="AC306" s="322"/>
      <c r="AD306" s="322"/>
    </row>
    <row r="307" spans="8:8" customHeight="1">
      <c r="A307" s="322"/>
      <c r="B307" s="322"/>
      <c r="C307" s="322"/>
      <c r="D307" s="322"/>
      <c r="E307" s="322"/>
      <c r="F307" s="322"/>
      <c r="G307" s="322"/>
      <c r="H307" s="322"/>
      <c r="I307" s="322"/>
      <c r="J307" s="322"/>
      <c r="K307" s="322"/>
      <c r="L307" s="322"/>
      <c r="M307" s="322"/>
      <c r="N307" s="322"/>
      <c r="O307" s="322"/>
      <c r="P307" s="322"/>
      <c r="Q307" s="322"/>
      <c r="R307" s="322"/>
      <c r="S307" s="322"/>
      <c r="V307" s="322"/>
      <c r="W307" s="322"/>
      <c r="X307" s="322"/>
      <c r="Y307" s="322"/>
      <c r="Z307" s="322"/>
      <c r="AA307" s="322"/>
      <c r="AB307" s="322"/>
      <c r="AC307" s="322"/>
      <c r="AD307" s="322"/>
    </row>
    <row r="308" spans="8:8" customHeight="1">
      <c r="A308" s="322"/>
      <c r="B308" s="322"/>
      <c r="C308" s="322"/>
      <c r="D308" s="322"/>
      <c r="E308" s="322"/>
      <c r="F308" s="322"/>
      <c r="G308" s="322"/>
      <c r="H308" s="322"/>
      <c r="I308" s="322"/>
      <c r="J308" s="322"/>
      <c r="K308" s="322"/>
      <c r="L308" s="322"/>
      <c r="M308" s="322"/>
      <c r="N308" s="322"/>
      <c r="O308" s="322"/>
      <c r="P308" s="322"/>
      <c r="Q308" s="322"/>
      <c r="R308" s="322"/>
      <c r="S308" s="322"/>
      <c r="V308" s="322"/>
      <c r="W308" s="322"/>
      <c r="X308" s="322"/>
      <c r="Y308" s="322"/>
      <c r="Z308" s="322"/>
      <c r="AA308" s="322"/>
      <c r="AB308" s="322"/>
      <c r="AC308" s="322"/>
      <c r="AD308" s="322"/>
    </row>
    <row r="309" spans="8:8" customHeight="1">
      <c r="A309" s="322"/>
      <c r="B309" s="322"/>
      <c r="C309" s="322"/>
      <c r="D309" s="322"/>
      <c r="E309" s="322"/>
      <c r="F309" s="322"/>
      <c r="G309" s="322"/>
      <c r="H309" s="322"/>
      <c r="I309" s="322"/>
      <c r="J309" s="322"/>
      <c r="K309" s="322"/>
      <c r="L309" s="322"/>
      <c r="M309" s="322"/>
      <c r="N309" s="322"/>
      <c r="O309" s="322"/>
      <c r="P309" s="322"/>
      <c r="Q309" s="322"/>
      <c r="R309" s="322"/>
      <c r="S309" s="322"/>
      <c r="V309" s="322"/>
      <c r="W309" s="322"/>
      <c r="X309" s="322"/>
      <c r="Y309" s="322"/>
      <c r="Z309" s="322"/>
      <c r="AA309" s="322"/>
      <c r="AB309" s="322"/>
      <c r="AC309" s="322"/>
      <c r="AD309" s="322"/>
    </row>
    <row r="310" spans="8:8" customHeight="1">
      <c r="A310" s="322"/>
      <c r="B310" s="322"/>
      <c r="C310" s="322"/>
      <c r="D310" s="322"/>
      <c r="E310" s="322"/>
      <c r="F310" s="322"/>
      <c r="G310" s="322"/>
      <c r="H310" s="322"/>
      <c r="I310" s="322"/>
      <c r="J310" s="322"/>
      <c r="K310" s="322"/>
      <c r="L310" s="322"/>
      <c r="M310" s="322"/>
      <c r="N310" s="322"/>
      <c r="O310" s="322"/>
      <c r="P310" s="322"/>
      <c r="Q310" s="322"/>
      <c r="R310" s="322"/>
      <c r="S310" s="322"/>
      <c r="V310" s="322"/>
      <c r="W310" s="322"/>
      <c r="X310" s="322"/>
      <c r="Y310" s="322"/>
      <c r="Z310" s="322"/>
      <c r="AA310" s="322"/>
      <c r="AB310" s="322"/>
      <c r="AC310" s="322"/>
      <c r="AD310" s="322"/>
    </row>
    <row r="311" spans="8:8" customHeight="1">
      <c r="A311" s="322"/>
      <c r="B311" s="322"/>
      <c r="C311" s="322"/>
      <c r="D311" s="322"/>
      <c r="E311" s="322"/>
      <c r="F311" s="322"/>
      <c r="G311" s="322"/>
      <c r="H311" s="322"/>
      <c r="I311" s="322"/>
      <c r="J311" s="322"/>
      <c r="K311" s="322"/>
      <c r="L311" s="322"/>
      <c r="M311" s="322"/>
      <c r="N311" s="322"/>
      <c r="O311" s="322"/>
      <c r="P311" s="322"/>
      <c r="Q311" s="322"/>
      <c r="R311" s="322"/>
      <c r="S311" s="322"/>
      <c r="V311" s="322"/>
      <c r="W311" s="322"/>
      <c r="X311" s="322"/>
      <c r="Y311" s="322"/>
      <c r="Z311" s="322"/>
      <c r="AA311" s="322"/>
      <c r="AB311" s="322"/>
      <c r="AC311" s="322"/>
      <c r="AD311" s="322"/>
    </row>
    <row r="312" spans="8:8" customHeight="1">
      <c r="A312" s="322"/>
      <c r="B312" s="322"/>
      <c r="C312" s="322"/>
      <c r="D312" s="322"/>
      <c r="E312" s="322"/>
      <c r="F312" s="322"/>
      <c r="G312" s="322"/>
      <c r="H312" s="322"/>
      <c r="I312" s="322"/>
      <c r="J312" s="322"/>
      <c r="K312" s="322"/>
      <c r="L312" s="322"/>
      <c r="M312" s="322"/>
      <c r="N312" s="322"/>
      <c r="O312" s="322"/>
      <c r="P312" s="322"/>
      <c r="Q312" s="322"/>
      <c r="R312" s="322"/>
      <c r="S312" s="322"/>
      <c r="T312" s="845"/>
      <c r="U312" s="845"/>
      <c r="V312" s="322"/>
      <c r="W312" s="322"/>
      <c r="X312" s="322"/>
      <c r="Y312" s="322"/>
      <c r="Z312" s="322"/>
      <c r="AA312" s="322"/>
      <c r="AB312" s="322"/>
      <c r="AC312" s="322"/>
      <c r="AD312" s="322"/>
    </row>
    <row r="313" spans="8:8" customHeight="1">
      <c r="A313" s="322"/>
      <c r="B313" s="322"/>
      <c r="C313" s="322"/>
      <c r="D313" s="322"/>
      <c r="E313" s="322"/>
      <c r="F313" s="322"/>
      <c r="G313" s="322"/>
      <c r="H313" s="322"/>
      <c r="I313" s="322"/>
      <c r="J313" s="322"/>
      <c r="K313" s="322"/>
      <c r="L313" s="322"/>
      <c r="M313" s="322"/>
      <c r="N313" s="322"/>
      <c r="O313" s="322"/>
      <c r="P313" s="322"/>
      <c r="Q313" s="322"/>
      <c r="R313" s="322"/>
      <c r="S313" s="322"/>
      <c r="T313" s="845"/>
      <c r="U313" s="845"/>
      <c r="V313" s="322"/>
      <c r="W313" s="322"/>
      <c r="X313" s="322"/>
      <c r="Y313" s="322"/>
      <c r="Z313" s="322"/>
      <c r="AA313" s="322"/>
      <c r="AB313" s="322"/>
      <c r="AC313" s="322"/>
      <c r="AD313" s="322"/>
    </row>
    <row r="314" spans="8:8" customHeight="1">
      <c r="A314" s="322"/>
      <c r="B314" s="322"/>
      <c r="C314" s="322"/>
      <c r="D314" s="322"/>
      <c r="E314" s="322"/>
      <c r="F314" s="322"/>
      <c r="G314" s="322"/>
      <c r="H314" s="322"/>
      <c r="I314" s="322"/>
      <c r="J314" s="322"/>
      <c r="K314" s="322"/>
      <c r="L314" s="322"/>
      <c r="M314" s="322"/>
      <c r="N314" s="322"/>
      <c r="O314" s="322"/>
      <c r="P314" s="322"/>
      <c r="Q314" s="322"/>
      <c r="R314" s="322"/>
      <c r="S314" s="322"/>
      <c r="T314" s="845"/>
      <c r="U314" s="845"/>
      <c r="V314" s="322"/>
      <c r="W314" s="322"/>
      <c r="X314" s="322"/>
      <c r="Y314" s="322"/>
      <c r="Z314" s="322"/>
      <c r="AA314" s="322"/>
      <c r="AB314" s="322"/>
      <c r="AC314" s="322"/>
      <c r="AD314" s="322"/>
    </row>
    <row r="315" spans="8:8" customHeight="1">
      <c r="A315" s="322"/>
      <c r="B315" s="322"/>
      <c r="C315" s="322"/>
      <c r="D315" s="322"/>
      <c r="E315" s="322"/>
      <c r="F315" s="322"/>
      <c r="G315" s="322"/>
      <c r="H315" s="322"/>
      <c r="I315" s="322"/>
      <c r="J315" s="322"/>
      <c r="K315" s="322"/>
      <c r="L315" s="322"/>
      <c r="M315" s="322"/>
      <c r="N315" s="322"/>
      <c r="O315" s="322"/>
      <c r="P315" s="322"/>
      <c r="Q315" s="322"/>
      <c r="R315" s="322"/>
      <c r="S315" s="322"/>
      <c r="V315" s="322"/>
      <c r="W315" s="322"/>
      <c r="X315" s="322"/>
      <c r="Y315" s="322"/>
      <c r="Z315" s="322"/>
      <c r="AA315" s="322"/>
      <c r="AB315" s="322"/>
      <c r="AC315" s="322"/>
      <c r="AD315" s="322"/>
    </row>
    <row r="316" spans="8:8" customHeight="1">
      <c r="A316" s="322"/>
      <c r="B316" s="322"/>
      <c r="C316" s="322"/>
      <c r="D316" s="322"/>
      <c r="E316" s="322"/>
      <c r="F316" s="322"/>
      <c r="G316" s="322"/>
      <c r="H316" s="322"/>
      <c r="I316" s="322"/>
      <c r="J316" s="322"/>
      <c r="K316" s="322"/>
      <c r="L316" s="322"/>
      <c r="M316" s="322"/>
      <c r="N316" s="322"/>
      <c r="O316" s="322"/>
      <c r="P316" s="322"/>
      <c r="Q316" s="322"/>
      <c r="R316" s="322"/>
      <c r="S316" s="322"/>
      <c r="V316" s="322"/>
      <c r="W316" s="322"/>
      <c r="X316" s="322"/>
      <c r="Y316" s="322"/>
      <c r="Z316" s="322"/>
      <c r="AA316" s="322"/>
      <c r="AB316" s="322"/>
      <c r="AC316" s="322"/>
      <c r="AD316" s="322"/>
    </row>
    <row r="317" spans="8:8" customHeight="1">
      <c r="A317" s="322"/>
      <c r="B317" s="322"/>
      <c r="C317" s="322"/>
      <c r="D317" s="322"/>
      <c r="E317" s="322"/>
      <c r="F317" s="322"/>
      <c r="G317" s="322"/>
      <c r="H317" s="322"/>
      <c r="I317" s="322"/>
      <c r="J317" s="322"/>
      <c r="K317" s="322"/>
      <c r="L317" s="322"/>
      <c r="M317" s="322"/>
      <c r="N317" s="322"/>
      <c r="O317" s="322"/>
      <c r="P317" s="322"/>
      <c r="Q317" s="322"/>
      <c r="R317" s="322"/>
      <c r="S317" s="322"/>
      <c r="V317" s="322"/>
      <c r="W317" s="322"/>
      <c r="X317" s="322"/>
      <c r="Y317" s="322"/>
      <c r="Z317" s="322"/>
      <c r="AA317" s="322"/>
      <c r="AB317" s="322"/>
      <c r="AC317" s="322"/>
      <c r="AD317" s="322"/>
    </row>
    <row r="318" spans="8:8" customHeight="1">
      <c r="A318" s="322"/>
      <c r="B318" s="322"/>
      <c r="C318" s="322"/>
      <c r="D318" s="322"/>
      <c r="E318" s="322"/>
      <c r="F318" s="322"/>
      <c r="G318" s="322"/>
      <c r="H318" s="322"/>
      <c r="I318" s="322"/>
      <c r="J318" s="322"/>
      <c r="K318" s="322"/>
      <c r="L318" s="322"/>
      <c r="M318" s="322"/>
      <c r="N318" s="322"/>
      <c r="O318" s="322"/>
      <c r="P318" s="322"/>
      <c r="T318" s="578"/>
      <c r="U318" s="322"/>
      <c r="V318" s="322"/>
      <c r="W318" s="322"/>
      <c r="X318" s="322"/>
      <c r="Y318" s="322"/>
      <c r="Z318" s="322"/>
      <c r="AA318" s="322"/>
      <c r="AB318" s="322"/>
      <c r="AC318" s="322"/>
      <c r="AD318" s="322"/>
    </row>
    <row r="319" spans="8:8" customHeight="1">
      <c r="A319" s="322"/>
      <c r="B319" s="322"/>
      <c r="C319" s="322"/>
      <c r="D319" s="322"/>
      <c r="E319" s="322"/>
      <c r="F319" s="322"/>
      <c r="G319" s="322"/>
      <c r="H319" s="322"/>
      <c r="I319" s="322"/>
      <c r="J319" s="322"/>
      <c r="K319" s="322"/>
      <c r="L319" s="322"/>
      <c r="M319" s="322"/>
      <c r="N319" s="322"/>
      <c r="O319" s="322"/>
      <c r="P319" s="322"/>
      <c r="T319" s="578"/>
      <c r="U319" s="322"/>
      <c r="V319" s="322"/>
      <c r="W319" s="322"/>
      <c r="X319" s="322"/>
      <c r="Y319" s="322"/>
      <c r="Z319" s="322"/>
      <c r="AA319" s="322"/>
      <c r="AB319" s="322"/>
      <c r="AC319" s="322"/>
      <c r="AD319" s="322"/>
    </row>
    <row r="320" spans="8:8" customHeight="1">
      <c r="A320" s="322"/>
      <c r="B320" s="322"/>
      <c r="C320" s="322"/>
      <c r="D320" s="322"/>
      <c r="E320" s="322"/>
      <c r="F320" s="322"/>
      <c r="G320" s="322"/>
      <c r="H320" s="322"/>
      <c r="I320" s="322"/>
      <c r="J320" s="322"/>
      <c r="K320" s="322"/>
      <c r="L320" s="322"/>
      <c r="M320" s="322"/>
      <c r="N320" s="322"/>
      <c r="O320" s="322"/>
      <c r="P320" s="322"/>
      <c r="T320" s="578"/>
      <c r="U320" s="322"/>
      <c r="V320" s="322"/>
      <c r="W320" s="322"/>
      <c r="X320" s="322"/>
      <c r="Y320" s="322"/>
      <c r="Z320" s="322"/>
      <c r="AA320" s="322"/>
      <c r="AB320" s="322"/>
      <c r="AC320" s="322"/>
      <c r="AD320" s="322"/>
    </row>
    <row r="321" spans="8:8" customHeight="1">
      <c r="A321" s="322"/>
      <c r="B321" s="322"/>
      <c r="C321" s="322"/>
      <c r="D321" s="322"/>
      <c r="E321" s="322"/>
      <c r="F321" s="322"/>
      <c r="G321" s="322"/>
      <c r="H321" s="322"/>
      <c r="I321" s="322"/>
      <c r="J321" s="322"/>
      <c r="K321" s="322"/>
      <c r="L321" s="322"/>
      <c r="M321" s="322"/>
      <c r="N321" s="322"/>
      <c r="O321" s="322"/>
      <c r="P321" s="322"/>
      <c r="T321" s="578"/>
      <c r="U321" s="322"/>
      <c r="V321" s="322"/>
      <c r="W321" s="322"/>
      <c r="X321" s="322"/>
      <c r="Y321" s="322"/>
      <c r="Z321" s="322"/>
      <c r="AA321" s="322"/>
      <c r="AB321" s="322"/>
      <c r="AC321" s="322"/>
      <c r="AD321" s="322"/>
    </row>
    <row r="322" spans="8:8" customHeight="1">
      <c r="A322" s="322"/>
      <c r="B322" s="322"/>
      <c r="C322" s="322"/>
      <c r="D322" s="322"/>
      <c r="E322" s="322"/>
      <c r="F322" s="322"/>
      <c r="G322" s="322"/>
      <c r="H322" s="322"/>
      <c r="I322" s="322"/>
      <c r="J322" s="322"/>
      <c r="K322" s="322"/>
      <c r="L322" s="322"/>
      <c r="M322" s="322"/>
      <c r="N322" s="322"/>
      <c r="O322" s="322"/>
      <c r="P322" s="322"/>
      <c r="T322" s="578"/>
      <c r="U322" s="322"/>
      <c r="V322" s="322"/>
      <c r="W322" s="322"/>
      <c r="X322" s="322"/>
      <c r="Y322" s="322"/>
      <c r="Z322" s="322"/>
      <c r="AA322" s="322"/>
      <c r="AB322" s="322"/>
      <c r="AC322" s="322"/>
      <c r="AD322" s="322"/>
    </row>
    <row r="323" spans="8:8" customHeight="1">
      <c r="A323" s="322"/>
      <c r="B323" s="322"/>
      <c r="C323" s="322"/>
      <c r="D323" s="322"/>
      <c r="E323" s="322"/>
      <c r="F323" s="322"/>
      <c r="G323" s="322"/>
      <c r="H323" s="322"/>
      <c r="I323" s="322"/>
      <c r="J323" s="322"/>
      <c r="K323" s="322"/>
      <c r="L323" s="322"/>
      <c r="M323" s="322"/>
      <c r="N323" s="322"/>
      <c r="O323" s="322"/>
      <c r="P323" s="322"/>
      <c r="Q323" s="322"/>
      <c r="R323" s="322"/>
      <c r="T323" s="578"/>
      <c r="U323" s="322"/>
      <c r="V323" s="322"/>
      <c r="W323" s="322"/>
      <c r="X323" s="322"/>
      <c r="Y323" s="322"/>
      <c r="Z323" s="322"/>
      <c r="AA323" s="322"/>
      <c r="AB323" s="322"/>
      <c r="AC323" s="322"/>
      <c r="AD323" s="322"/>
    </row>
    <row r="324" spans="8:8" customHeight="1">
      <c r="A324" s="322"/>
      <c r="B324" s="322"/>
      <c r="C324" s="322"/>
      <c r="D324" s="322"/>
      <c r="I324" s="322"/>
      <c r="J324" s="322"/>
      <c r="K324" s="322"/>
      <c r="L324" s="322"/>
      <c r="M324" s="322"/>
      <c r="N324" s="322"/>
      <c r="O324" s="322"/>
      <c r="P324" s="322"/>
      <c r="Q324" s="322"/>
      <c r="R324" s="322"/>
      <c r="T324" s="322"/>
      <c r="U324" s="322"/>
      <c r="V324" s="322"/>
      <c r="W324" s="322"/>
      <c r="X324" s="322"/>
      <c r="Y324" s="322"/>
      <c r="Z324" s="322"/>
      <c r="AA324" s="322"/>
      <c r="AB324" s="322"/>
      <c r="AC324" s="322"/>
      <c r="AD324" s="322"/>
    </row>
    <row r="325" spans="8:8" customHeight="1">
      <c r="A325" s="322"/>
      <c r="B325" s="322"/>
      <c r="C325" s="322"/>
      <c r="D325" s="322"/>
      <c r="I325" s="322"/>
      <c r="J325" s="322"/>
      <c r="K325" s="322"/>
      <c r="L325" s="322"/>
      <c r="M325" s="322"/>
      <c r="N325" s="322"/>
      <c r="O325" s="322"/>
      <c r="P325" s="322"/>
      <c r="Q325" s="322"/>
      <c r="R325" s="322"/>
      <c r="T325" s="322"/>
      <c r="U325" s="322"/>
      <c r="V325" s="322"/>
      <c r="W325" s="322"/>
      <c r="X325" s="322"/>
      <c r="Y325" s="322"/>
      <c r="Z325" s="322"/>
      <c r="AA325" s="322"/>
      <c r="AB325" s="322"/>
      <c r="AC325" s="322"/>
      <c r="AD325" s="322"/>
    </row>
    <row r="326" spans="8:8" customHeight="1">
      <c r="A326" s="322"/>
      <c r="B326" s="322"/>
      <c r="C326" s="322"/>
      <c r="D326" s="322"/>
      <c r="I326" s="322"/>
      <c r="J326" s="322"/>
      <c r="K326" s="322"/>
      <c r="L326" s="322"/>
      <c r="M326" s="322"/>
      <c r="N326" s="322"/>
      <c r="O326" s="322"/>
      <c r="P326" s="322"/>
      <c r="Q326" s="322"/>
      <c r="R326" s="322"/>
      <c r="T326" s="322"/>
      <c r="U326" s="322"/>
      <c r="V326" s="322"/>
      <c r="W326" s="322"/>
      <c r="X326" s="322"/>
      <c r="Y326" s="322"/>
      <c r="Z326" s="322"/>
      <c r="AA326" s="322"/>
      <c r="AB326" s="322"/>
      <c r="AC326" s="322"/>
      <c r="AD326" s="322"/>
    </row>
    <row r="327" spans="8:8" customHeight="1">
      <c r="A327" s="322"/>
      <c r="B327" s="322"/>
      <c r="C327" s="322"/>
      <c r="D327" s="322"/>
      <c r="F327" s="322"/>
      <c r="G327" s="322"/>
      <c r="H327" s="322"/>
      <c r="I327" s="322"/>
      <c r="J327" s="322"/>
      <c r="K327" s="322"/>
      <c r="L327" s="322"/>
      <c r="M327" s="322"/>
      <c r="N327" s="322"/>
      <c r="O327" s="322"/>
      <c r="P327" s="322"/>
      <c r="Q327" s="322"/>
      <c r="R327" s="322"/>
      <c r="S327" s="322"/>
      <c r="T327" s="322"/>
      <c r="U327" s="322"/>
      <c r="V327" s="322"/>
      <c r="W327" s="322"/>
      <c r="X327" s="322"/>
      <c r="Y327" s="322"/>
      <c r="Z327" s="322"/>
      <c r="AA327" s="322"/>
      <c r="AB327" s="322"/>
      <c r="AC327" s="322"/>
      <c r="AD327" s="322"/>
    </row>
    <row r="328" spans="8:8" customHeight="1">
      <c r="A328" s="322"/>
      <c r="B328" s="322"/>
      <c r="C328" s="322"/>
      <c r="D328" s="322"/>
      <c r="F328" s="322"/>
      <c r="G328" s="322"/>
      <c r="H328" s="322"/>
      <c r="I328" s="322"/>
      <c r="J328" s="322"/>
      <c r="K328" s="322"/>
      <c r="L328" s="322"/>
      <c r="M328" s="322"/>
      <c r="N328" s="322"/>
      <c r="O328" s="322"/>
      <c r="P328" s="322"/>
      <c r="Q328" s="322"/>
      <c r="R328" s="322"/>
      <c r="S328" s="322"/>
      <c r="T328" s="322"/>
      <c r="U328" s="322"/>
      <c r="V328" s="322"/>
      <c r="W328" s="322"/>
      <c r="X328" s="322"/>
      <c r="Y328" s="322"/>
      <c r="Z328" s="322"/>
      <c r="AA328" s="322"/>
      <c r="AB328" s="322"/>
      <c r="AC328" s="322"/>
      <c r="AD328" s="322"/>
    </row>
    <row r="329" spans="8:8" customHeight="1">
      <c r="A329" s="322"/>
      <c r="B329" s="322"/>
      <c r="C329" s="322"/>
      <c r="D329" s="322"/>
      <c r="F329" s="322"/>
      <c r="G329" s="322"/>
      <c r="H329" s="322"/>
      <c r="I329" s="322"/>
      <c r="J329" s="322"/>
      <c r="K329" s="322"/>
      <c r="L329" s="322"/>
      <c r="M329" s="322"/>
      <c r="N329" s="322"/>
      <c r="O329" s="322"/>
      <c r="P329" s="322"/>
      <c r="Q329" s="322"/>
      <c r="R329" s="322"/>
      <c r="X329" s="322"/>
      <c r="Y329" s="322"/>
      <c r="Z329" s="322"/>
      <c r="AA329" s="322"/>
      <c r="AB329" s="322"/>
      <c r="AC329" s="322"/>
      <c r="AD329" s="322"/>
    </row>
    <row r="330" spans="8:8" customHeight="1">
      <c r="A330" s="322"/>
      <c r="B330" s="322"/>
      <c r="C330" s="322"/>
      <c r="D330" s="322"/>
      <c r="F330" s="322"/>
      <c r="G330" s="322"/>
      <c r="H330" s="322"/>
      <c r="I330" s="322"/>
      <c r="J330" s="322"/>
      <c r="K330" s="322"/>
      <c r="L330" s="322"/>
      <c r="M330" s="322"/>
      <c r="N330" s="322"/>
      <c r="O330" s="322"/>
      <c r="P330" s="322"/>
      <c r="Q330" s="322"/>
      <c r="R330" s="322"/>
      <c r="X330" s="322"/>
      <c r="Y330" s="322"/>
      <c r="Z330" s="322"/>
      <c r="AA330" s="322"/>
      <c r="AB330" s="322"/>
      <c r="AC330" s="322"/>
      <c r="AD330" s="322"/>
    </row>
    <row r="331" spans="8:8" customHeight="1">
      <c r="A331" s="322"/>
      <c r="B331" s="322"/>
      <c r="C331" s="322"/>
      <c r="D331" s="322"/>
      <c r="F331" s="322"/>
      <c r="G331" s="322"/>
      <c r="H331" s="322"/>
      <c r="I331" s="322"/>
      <c r="J331" s="322"/>
      <c r="K331" s="322"/>
      <c r="L331" s="322"/>
      <c r="M331" s="322"/>
      <c r="N331" s="322"/>
      <c r="O331" s="322"/>
      <c r="P331" s="322"/>
      <c r="Q331" s="322"/>
      <c r="R331" s="322"/>
      <c r="X331" s="322"/>
      <c r="Y331" s="322"/>
      <c r="Z331" s="322"/>
      <c r="AA331" s="322"/>
      <c r="AB331" s="322"/>
      <c r="AC331" s="322"/>
      <c r="AD331" s="322"/>
    </row>
    <row r="332" spans="8:8" customHeight="1">
      <c r="A332" s="322"/>
      <c r="B332" s="322"/>
      <c r="C332" s="322"/>
      <c r="D332" s="322"/>
      <c r="F332" s="322"/>
      <c r="G332" s="322"/>
      <c r="H332" s="322"/>
      <c r="I332" s="322"/>
      <c r="J332" s="322"/>
      <c r="K332" s="322"/>
      <c r="L332" s="322"/>
      <c r="M332" s="322"/>
      <c r="N332" s="322"/>
      <c r="O332" s="322"/>
      <c r="P332" s="322"/>
      <c r="Q332" s="322"/>
      <c r="R332" s="322"/>
      <c r="X332" s="322"/>
      <c r="Y332" s="322"/>
      <c r="Z332" s="322"/>
      <c r="AA332" s="322"/>
      <c r="AB332" s="322"/>
      <c r="AC332" s="322"/>
      <c r="AD332" s="322"/>
    </row>
    <row r="333" spans="8:8" customHeight="1">
      <c r="A333" s="322"/>
      <c r="B333" s="322"/>
      <c r="C333" s="322"/>
      <c r="D333" s="322"/>
      <c r="F333" s="322"/>
      <c r="G333" s="322"/>
      <c r="H333" s="322"/>
      <c r="I333" s="322"/>
      <c r="J333" s="322"/>
      <c r="K333" s="322"/>
      <c r="L333" s="322"/>
      <c r="M333" s="322"/>
      <c r="N333" s="322"/>
      <c r="O333" s="322"/>
      <c r="P333" s="322"/>
      <c r="Q333" s="322"/>
      <c r="R333" s="322"/>
      <c r="X333" s="322"/>
      <c r="Y333" s="322"/>
      <c r="Z333" s="322"/>
      <c r="AA333" s="322"/>
      <c r="AB333" s="322"/>
      <c r="AC333" s="322"/>
      <c r="AD333" s="322"/>
    </row>
    <row r="334" spans="8:8" customHeight="1">
      <c r="A334" s="322"/>
      <c r="B334" s="322"/>
      <c r="C334" s="322"/>
      <c r="D334" s="322"/>
      <c r="F334" s="322"/>
      <c r="G334" s="322"/>
      <c r="H334" s="322"/>
      <c r="I334" s="322"/>
      <c r="J334" s="322"/>
      <c r="K334" s="322"/>
      <c r="L334" s="322"/>
      <c r="M334" s="322"/>
      <c r="N334" s="322"/>
      <c r="O334" s="322"/>
      <c r="P334" s="322"/>
      <c r="Q334" s="322"/>
      <c r="R334" s="322"/>
      <c r="X334" s="322"/>
      <c r="Y334" s="322"/>
      <c r="Z334" s="322"/>
      <c r="AA334" s="322"/>
      <c r="AB334" s="322"/>
      <c r="AC334" s="322"/>
      <c r="AD334" s="322"/>
    </row>
    <row r="335" spans="8:8" customHeight="1">
      <c r="A335" s="322"/>
      <c r="B335" s="322"/>
      <c r="C335" s="322"/>
      <c r="D335" s="322"/>
      <c r="X335" s="322"/>
      <c r="Y335" s="322"/>
      <c r="Z335" s="322"/>
      <c r="AA335" s="322"/>
      <c r="AB335" s="322"/>
      <c r="AC335" s="322"/>
      <c r="AD335" s="322"/>
    </row>
    <row r="336" spans="8:8" customHeight="1">
      <c r="X336" s="322"/>
      <c r="Y336" s="322"/>
      <c r="Z336" s="322"/>
      <c r="AA336" s="322"/>
      <c r="AB336" s="322"/>
      <c r="AC336" s="322"/>
      <c r="AD336" s="322"/>
    </row>
    <row r="337" spans="8:8" customHeight="1">
      <c r="X337" s="322"/>
      <c r="Y337" s="322"/>
      <c r="Z337" s="322"/>
      <c r="AA337" s="322"/>
      <c r="AB337" s="322"/>
      <c r="AC337" s="322"/>
      <c r="AD337" s="322"/>
    </row>
    <row r="338" spans="8:8" customHeight="1">
      <c r="X338" s="322"/>
      <c r="Y338" s="322"/>
      <c r="Z338" s="322"/>
      <c r="AA338" s="322"/>
      <c r="AB338" s="322"/>
      <c r="AC338" s="322"/>
      <c r="AD338" s="322"/>
    </row>
    <row r="339" spans="8:8" customHeight="1">
      <c r="X339" s="322"/>
      <c r="Y339" s="322"/>
      <c r="Z339" s="322"/>
      <c r="AA339" s="322"/>
      <c r="AB339" s="322"/>
      <c r="AC339" s="322"/>
      <c r="AD339" s="322"/>
    </row>
    <row r="340" spans="8:8" customHeight="1">
      <c r="X340" s="322"/>
      <c r="Y340" s="322"/>
      <c r="Z340" s="322"/>
      <c r="AA340" s="322"/>
      <c r="AB340" s="322"/>
      <c r="AC340" s="322"/>
      <c r="AD340" s="322"/>
    </row>
    <row r="341" spans="8:8" customHeight="1">
      <c r="X341" s="322"/>
      <c r="Y341" s="322"/>
      <c r="Z341" s="322"/>
      <c r="AA341" s="322"/>
      <c r="AB341" s="322"/>
      <c r="AC341" s="322"/>
      <c r="AD341" s="322"/>
    </row>
    <row r="342" spans="8:8" customHeight="1">
      <c r="X342" s="322"/>
      <c r="Y342" s="322"/>
      <c r="Z342" s="322"/>
      <c r="AA342" s="322"/>
      <c r="AB342" s="322"/>
      <c r="AC342" s="322"/>
      <c r="AD342" s="322"/>
    </row>
    <row r="343" spans="8:8" customHeight="1">
      <c r="X343" s="322"/>
      <c r="Y343" s="322"/>
      <c r="Z343" s="322"/>
      <c r="AA343" s="322"/>
      <c r="AB343" s="322"/>
      <c r="AC343" s="322"/>
      <c r="AD343" s="322"/>
    </row>
    <row r="344" spans="8:8" customHeight="1">
      <c r="X344" s="322"/>
      <c r="Y344" s="322"/>
      <c r="Z344" s="322"/>
      <c r="AA344" s="322"/>
      <c r="AB344" s="322"/>
      <c r="AC344" s="322"/>
      <c r="AD344" s="322"/>
    </row>
    <row r="345" spans="8:8" customHeight="1">
      <c r="X345" s="322"/>
      <c r="Y345" s="322"/>
      <c r="Z345" s="322"/>
      <c r="AA345" s="322"/>
      <c r="AB345" s="322"/>
      <c r="AC345" s="322"/>
      <c r="AD345" s="322"/>
    </row>
    <row r="346" spans="8:8" customHeight="1">
      <c r="X346" s="322"/>
      <c r="Y346" s="322"/>
      <c r="Z346" s="322"/>
      <c r="AA346" s="322"/>
      <c r="AB346" s="322"/>
      <c r="AC346" s="322"/>
      <c r="AD346" s="322"/>
    </row>
    <row r="347" spans="8:8" customHeight="1">
      <c r="X347" s="322"/>
      <c r="Y347" s="322"/>
      <c r="Z347" s="322"/>
      <c r="AA347" s="322"/>
      <c r="AB347" s="322"/>
      <c r="AC347" s="322"/>
      <c r="AD347" s="322"/>
    </row>
    <row r="348" spans="8:8" customHeight="1">
      <c r="X348" s="322"/>
      <c r="Y348" s="322"/>
      <c r="Z348" s="322"/>
      <c r="AA348" s="322"/>
      <c r="AB348" s="322"/>
      <c r="AC348" s="322"/>
      <c r="AD348" s="322"/>
    </row>
    <row r="364" spans="8:8" customHeight="1">
      <c r="A364" s="672"/>
      <c r="B364" s="672"/>
      <c r="C364" s="672"/>
      <c r="D364" s="636"/>
      <c r="E364" s="636"/>
      <c r="F364" s="322"/>
      <c r="G364" s="322"/>
      <c r="H364" s="322"/>
      <c r="I364" s="322"/>
      <c r="J364" s="322"/>
      <c r="K364" s="322"/>
      <c r="L364" s="322"/>
      <c r="M364" s="322"/>
      <c r="N364" s="322"/>
      <c r="O364" s="322"/>
      <c r="P364" s="322"/>
      <c r="Q364" s="626"/>
      <c r="R364" s="322"/>
      <c r="S364" s="322"/>
      <c r="T364" s="322"/>
      <c r="U364" s="322"/>
    </row>
    <row r="365" spans="8:8" customHeight="1">
      <c r="A365" s="648"/>
      <c r="B365" s="648"/>
      <c r="C365" s="648"/>
      <c r="D365" s="648"/>
      <c r="E365" s="648"/>
      <c r="F365" s="601"/>
      <c r="G365" s="601"/>
      <c r="H365" s="601"/>
      <c r="I365" s="601"/>
      <c r="J365" s="601"/>
      <c r="K365" s="601"/>
      <c r="L365" s="601"/>
      <c r="M365" s="601"/>
      <c r="N365" s="601"/>
      <c r="O365" s="601"/>
      <c r="P365" s="601"/>
      <c r="Q365" s="626"/>
      <c r="R365" s="322"/>
      <c r="S365" s="322"/>
      <c r="T365" s="322"/>
      <c r="U365" s="322"/>
    </row>
    <row r="366" spans="8:8" customHeight="1">
      <c r="A366" s="648"/>
      <c r="B366" s="648"/>
      <c r="C366" s="648"/>
      <c r="D366" s="648"/>
      <c r="E366" s="648"/>
      <c r="F366" s="601"/>
      <c r="G366" s="601"/>
      <c r="H366" s="601"/>
      <c r="I366" s="601"/>
      <c r="J366" s="601"/>
      <c r="K366" s="601"/>
      <c r="L366" s="601"/>
      <c r="M366" s="601"/>
      <c r="N366" s="601"/>
      <c r="O366" s="601"/>
      <c r="P366" s="601"/>
      <c r="Q366" s="626"/>
      <c r="R366" s="322"/>
      <c r="S366" s="322"/>
      <c r="T366" s="322"/>
      <c r="U366" s="322"/>
    </row>
    <row r="367" spans="8:8" customHeight="1">
      <c r="A367" s="648"/>
      <c r="B367" s="846"/>
      <c r="C367" s="846"/>
      <c r="D367" s="846"/>
      <c r="E367" s="648"/>
      <c r="F367" s="601"/>
      <c r="G367" s="601"/>
      <c r="H367" s="601"/>
      <c r="I367" s="601"/>
      <c r="J367" s="601"/>
      <c r="K367" s="601"/>
      <c r="L367" s="601"/>
      <c r="M367" s="601"/>
      <c r="N367" s="601"/>
      <c r="O367" s="601"/>
      <c r="P367" s="601"/>
      <c r="Q367" s="626"/>
      <c r="R367" s="322"/>
      <c r="S367" s="322"/>
      <c r="T367" s="322"/>
      <c r="U367" s="322"/>
      <c r="V367" s="322"/>
      <c r="W367" s="322"/>
      <c r="X367" s="322"/>
      <c r="Y367" s="322"/>
      <c r="Z367" s="322"/>
      <c r="AA367" s="322"/>
      <c r="AB367" s="322"/>
      <c r="AC367" s="322"/>
      <c r="AD367" s="322"/>
    </row>
    <row r="368" spans="8:8" customHeight="1">
      <c r="A368" s="648"/>
      <c r="B368" s="648"/>
      <c r="C368" s="648"/>
      <c r="D368" s="648"/>
      <c r="E368" s="648"/>
      <c r="F368" s="601"/>
      <c r="G368" s="602"/>
      <c r="H368" s="601"/>
      <c r="I368" s="601"/>
      <c r="J368" s="601"/>
      <c r="K368" s="601"/>
      <c r="L368" s="601"/>
      <c r="M368" s="602"/>
      <c r="N368" s="601"/>
      <c r="O368" s="601"/>
      <c r="P368" s="601"/>
      <c r="Q368" s="626"/>
      <c r="R368" s="322"/>
      <c r="S368" s="322"/>
      <c r="T368" s="322"/>
      <c r="U368" s="322"/>
      <c r="V368" s="322"/>
      <c r="W368" s="322"/>
      <c r="X368" s="322"/>
      <c r="Y368" s="322"/>
      <c r="Z368" s="322"/>
      <c r="AA368" s="322"/>
      <c r="AB368" s="322"/>
      <c r="AC368" s="322"/>
      <c r="AD368" s="322"/>
    </row>
    <row r="369" spans="8:8" customHeight="1">
      <c r="A369" s="648"/>
      <c r="B369" s="648"/>
      <c r="C369" s="648"/>
      <c r="D369" s="648"/>
      <c r="E369" s="648"/>
      <c r="F369" s="601"/>
      <c r="G369" s="602"/>
      <c r="H369" s="601"/>
      <c r="I369" s="601"/>
      <c r="J369" s="601"/>
      <c r="K369" s="601"/>
      <c r="L369" s="601"/>
      <c r="M369" s="602"/>
      <c r="N369" s="601"/>
      <c r="O369" s="601"/>
      <c r="P369" s="601"/>
      <c r="Q369" s="626"/>
      <c r="R369" s="322"/>
      <c r="S369" s="322"/>
      <c r="T369" s="322"/>
      <c r="U369" s="322"/>
      <c r="V369" s="322"/>
      <c r="W369" s="322"/>
      <c r="X369" s="322"/>
      <c r="Y369" s="322"/>
      <c r="Z369" s="322"/>
      <c r="AA369" s="322"/>
      <c r="AB369" s="322"/>
      <c r="AC369" s="322"/>
      <c r="AD369" s="322"/>
    </row>
    <row r="370" spans="8:8" customHeight="1">
      <c r="A370" s="648"/>
      <c r="B370" s="648"/>
      <c r="C370" s="648"/>
      <c r="D370" s="648"/>
      <c r="E370" s="648"/>
      <c r="F370" s="601"/>
      <c r="G370" s="602"/>
      <c r="H370" s="601"/>
      <c r="I370" s="601"/>
      <c r="J370" s="601"/>
      <c r="K370" s="601"/>
      <c r="L370" s="601"/>
      <c r="M370" s="602"/>
      <c r="N370" s="601"/>
      <c r="O370" s="601"/>
      <c r="P370" s="601"/>
      <c r="Q370" s="626"/>
      <c r="R370" s="322"/>
      <c r="S370" s="322"/>
      <c r="T370" s="322"/>
      <c r="U370" s="322"/>
      <c r="V370" s="322"/>
      <c r="W370" s="322"/>
      <c r="X370" s="322"/>
      <c r="Y370" s="322"/>
      <c r="Z370" s="322"/>
      <c r="AA370" s="322"/>
      <c r="AB370" s="322"/>
      <c r="AC370" s="322"/>
      <c r="AD370" s="322"/>
    </row>
    <row r="371" spans="8:8" customHeight="1">
      <c r="A371" s="648"/>
      <c r="B371" s="648"/>
      <c r="C371" s="648"/>
      <c r="D371" s="648"/>
      <c r="E371" s="648"/>
      <c r="F371" s="601"/>
      <c r="G371" s="602"/>
      <c r="H371" s="601"/>
      <c r="I371" s="601"/>
      <c r="J371" s="601"/>
      <c r="K371" s="601"/>
      <c r="L371" s="601"/>
      <c r="M371" s="602"/>
      <c r="N371" s="601"/>
      <c r="O371" s="601"/>
      <c r="P371" s="601"/>
      <c r="Q371" s="626"/>
      <c r="R371" s="322"/>
      <c r="S371" s="322"/>
      <c r="T371" s="322"/>
      <c r="U371" s="322"/>
      <c r="V371" s="322"/>
      <c r="W371" s="322"/>
      <c r="X371" s="322"/>
      <c r="Y371" s="322"/>
      <c r="Z371" s="322"/>
      <c r="AA371" s="322"/>
      <c r="AB371" s="322"/>
      <c r="AC371" s="322"/>
      <c r="AD371" s="322"/>
    </row>
    <row r="372" spans="8:8" customHeight="1">
      <c r="A372" s="648"/>
      <c r="B372" s="648"/>
      <c r="C372" s="648"/>
      <c r="D372" s="648"/>
      <c r="E372" s="648"/>
      <c r="F372" s="601"/>
      <c r="G372" s="601"/>
      <c r="H372" s="601"/>
      <c r="I372" s="601"/>
      <c r="J372" s="601"/>
      <c r="K372" s="601"/>
      <c r="L372" s="601"/>
      <c r="M372" s="601"/>
      <c r="N372" s="601"/>
      <c r="O372" s="601"/>
      <c r="P372" s="601"/>
      <c r="Q372" s="626"/>
      <c r="R372" s="322"/>
      <c r="S372" s="322"/>
      <c r="T372" s="322"/>
      <c r="U372" s="322"/>
      <c r="V372" s="322"/>
      <c r="W372" s="322"/>
      <c r="X372" s="322"/>
      <c r="Y372" s="322"/>
      <c r="Z372" s="322"/>
      <c r="AA372" s="322"/>
      <c r="AB372" s="322"/>
      <c r="AC372" s="322"/>
      <c r="AD372" s="322"/>
    </row>
    <row r="373" spans="8:8" customHeight="1">
      <c r="A373" s="648"/>
      <c r="B373" s="648"/>
      <c r="C373" s="648"/>
      <c r="D373" s="648"/>
      <c r="E373" s="648"/>
      <c r="F373" s="601"/>
      <c r="G373" s="601"/>
      <c r="H373" s="601"/>
      <c r="I373" s="601"/>
      <c r="J373" s="601"/>
      <c r="K373" s="601"/>
      <c r="L373" s="601"/>
      <c r="M373" s="601"/>
      <c r="N373" s="601"/>
      <c r="O373" s="601"/>
      <c r="P373" s="601"/>
      <c r="Q373" s="626"/>
      <c r="R373" s="322"/>
      <c r="S373" s="322"/>
      <c r="T373" s="322"/>
      <c r="U373" s="322"/>
      <c r="V373" s="322"/>
      <c r="W373" s="322"/>
      <c r="X373" s="322"/>
      <c r="Y373" s="322"/>
      <c r="Z373" s="322"/>
      <c r="AA373" s="322"/>
      <c r="AB373" s="322"/>
      <c r="AC373" s="322"/>
      <c r="AD373" s="322"/>
    </row>
    <row r="374" spans="8:8" customHeight="1">
      <c r="A374" s="648"/>
      <c r="B374" s="648"/>
      <c r="C374" s="648"/>
      <c r="D374" s="648"/>
      <c r="E374" s="648"/>
      <c r="F374" s="601"/>
      <c r="G374" s="601"/>
      <c r="H374" s="601"/>
      <c r="I374" s="601"/>
      <c r="J374" s="601"/>
      <c r="K374" s="601"/>
      <c r="L374" s="601"/>
      <c r="M374" s="601"/>
      <c r="N374" s="601"/>
      <c r="O374" s="601"/>
      <c r="P374" s="601"/>
      <c r="Q374" s="626"/>
      <c r="R374" s="322"/>
      <c r="S374" s="322"/>
      <c r="T374" s="322"/>
      <c r="U374" s="322"/>
      <c r="V374" s="322"/>
      <c r="W374" s="322"/>
      <c r="X374" s="322"/>
      <c r="Y374" s="322"/>
      <c r="Z374" s="322"/>
      <c r="AA374" s="322"/>
      <c r="AB374" s="322"/>
      <c r="AC374" s="322"/>
      <c r="AD374" s="322"/>
    </row>
    <row r="375" spans="8:8" customHeight="1">
      <c r="A375" s="648"/>
      <c r="B375" s="648"/>
      <c r="C375" s="847"/>
      <c r="D375" s="648"/>
      <c r="E375" s="648"/>
      <c r="F375" s="601"/>
      <c r="G375" s="601"/>
      <c r="H375" s="601"/>
      <c r="I375" s="601"/>
      <c r="J375" s="601"/>
      <c r="K375" s="601"/>
      <c r="L375" s="601"/>
      <c r="M375" s="601"/>
      <c r="N375" s="601"/>
      <c r="O375" s="601"/>
      <c r="P375" s="601"/>
      <c r="Q375" s="626"/>
      <c r="R375" s="322"/>
      <c r="S375" s="322"/>
      <c r="T375" s="322"/>
      <c r="U375" s="322"/>
      <c r="V375" s="322"/>
      <c r="W375" s="322"/>
      <c r="X375" s="322"/>
      <c r="Y375" s="322"/>
      <c r="Z375" s="322"/>
      <c r="AA375" s="322"/>
      <c r="AB375" s="322"/>
      <c r="AC375" s="322"/>
      <c r="AD375" s="322"/>
    </row>
    <row r="376" spans="8:8" customHeight="1">
      <c r="A376" s="848"/>
      <c r="B376" s="848"/>
      <c r="C376" s="648"/>
      <c r="D376" s="648"/>
      <c r="E376" s="648"/>
      <c r="F376" s="601"/>
      <c r="G376" s="601"/>
      <c r="H376" s="601"/>
      <c r="I376" s="601"/>
      <c r="J376" s="655"/>
      <c r="K376" s="655"/>
      <c r="L376" s="601"/>
      <c r="M376" s="601"/>
      <c r="N376" s="601"/>
      <c r="O376" s="601"/>
      <c r="P376" s="601"/>
      <c r="Q376" s="626"/>
      <c r="R376" s="322"/>
      <c r="S376" s="322"/>
      <c r="T376" s="322"/>
      <c r="U376" s="322"/>
      <c r="V376" s="322"/>
      <c r="W376" s="322"/>
      <c r="X376" s="322"/>
      <c r="Y376" s="322"/>
      <c r="Z376" s="322"/>
      <c r="AA376" s="322"/>
      <c r="AB376" s="322"/>
      <c r="AC376" s="322"/>
      <c r="AD376" s="322"/>
    </row>
    <row r="377" spans="8:8" customHeight="1">
      <c r="A377" s="601"/>
      <c r="B377" s="601"/>
      <c r="C377" s="601"/>
      <c r="D377" s="601"/>
      <c r="E377" s="601"/>
      <c r="F377" s="601"/>
      <c r="G377" s="601"/>
      <c r="H377" s="601"/>
      <c r="I377" s="601"/>
      <c r="J377" s="655"/>
      <c r="K377" s="601"/>
      <c r="L377" s="601"/>
      <c r="M377" s="601"/>
      <c r="N377" s="601"/>
      <c r="O377" s="601"/>
      <c r="P377" s="601"/>
      <c r="Q377" s="626"/>
      <c r="R377" s="322"/>
      <c r="S377" s="322"/>
      <c r="T377" s="322"/>
      <c r="U377" s="322"/>
      <c r="V377" s="322"/>
      <c r="W377" s="322"/>
      <c r="X377" s="322"/>
      <c r="Y377" s="322"/>
      <c r="Z377" s="322"/>
      <c r="AA377" s="322"/>
      <c r="AB377" s="322"/>
      <c r="AC377" s="322"/>
      <c r="AD377" s="322"/>
    </row>
    <row r="378" spans="8:8" customHeight="1">
      <c r="A378" s="601"/>
      <c r="B378" s="601"/>
      <c r="C378" s="601"/>
      <c r="D378" s="601"/>
      <c r="E378" s="601"/>
      <c r="F378" s="601"/>
      <c r="G378" s="601"/>
      <c r="H378" s="601"/>
      <c r="I378" s="601"/>
      <c r="J378" s="601"/>
      <c r="K378" s="601"/>
      <c r="L378" s="601"/>
      <c r="M378" s="601"/>
      <c r="N378" s="601"/>
      <c r="O378" s="601"/>
      <c r="P378" s="601"/>
      <c r="Q378" s="626"/>
      <c r="R378" s="322"/>
      <c r="S378" s="322"/>
      <c r="T378" s="322"/>
      <c r="U378" s="322"/>
      <c r="V378" s="322"/>
      <c r="W378" s="322"/>
      <c r="X378" s="322"/>
      <c r="Y378" s="322"/>
      <c r="Z378" s="322"/>
      <c r="AA378" s="322"/>
      <c r="AB378" s="322"/>
      <c r="AC378" s="322"/>
      <c r="AD378" s="322"/>
    </row>
    <row r="379" spans="8:8" customHeight="1">
      <c r="A379" s="601"/>
      <c r="B379" s="601"/>
      <c r="C379" s="602"/>
      <c r="D379" s="601"/>
      <c r="E379" s="601"/>
      <c r="F379" s="601"/>
      <c r="G379" s="601"/>
      <c r="H379" s="601"/>
      <c r="I379" s="601"/>
      <c r="J379" s="601"/>
      <c r="K379" s="601"/>
      <c r="L379" s="601"/>
      <c r="M379" s="601"/>
      <c r="N379" s="601"/>
      <c r="O379" s="601"/>
      <c r="P379" s="601"/>
      <c r="Q379" s="626"/>
      <c r="R379" s="322"/>
      <c r="S379" s="322"/>
      <c r="T379" s="322"/>
      <c r="U379" s="322"/>
      <c r="V379" s="322"/>
      <c r="W379" s="322"/>
      <c r="X379" s="322"/>
      <c r="Y379" s="322"/>
      <c r="Z379" s="322"/>
      <c r="AA379" s="322"/>
      <c r="AB379" s="322"/>
      <c r="AC379" s="322"/>
      <c r="AD379" s="322"/>
    </row>
    <row r="380" spans="8:8" customHeight="1">
      <c r="A380" s="601"/>
      <c r="B380" s="601"/>
      <c r="C380" s="602"/>
      <c r="D380" s="601"/>
      <c r="E380" s="655"/>
      <c r="F380" s="655"/>
      <c r="G380" s="655"/>
      <c r="H380" s="601"/>
      <c r="I380" s="601"/>
      <c r="J380" s="601"/>
      <c r="K380" s="601"/>
      <c r="L380" s="602"/>
      <c r="M380" s="601"/>
      <c r="N380" s="601"/>
      <c r="O380" s="601"/>
      <c r="P380" s="601"/>
      <c r="Q380" s="626"/>
      <c r="R380" s="322"/>
      <c r="S380" s="322"/>
      <c r="T380" s="322"/>
      <c r="U380" s="322"/>
      <c r="V380" s="322"/>
      <c r="W380" s="322"/>
      <c r="X380" s="322"/>
      <c r="Y380" s="322"/>
      <c r="Z380" s="322"/>
      <c r="AA380" s="322"/>
      <c r="AB380" s="322"/>
      <c r="AC380" s="322"/>
      <c r="AD380" s="322"/>
    </row>
    <row r="381" spans="8:8" customHeight="1">
      <c r="A381" s="601"/>
      <c r="B381" s="601"/>
      <c r="C381" s="602"/>
      <c r="D381" s="601"/>
      <c r="E381" s="655"/>
      <c r="F381" s="655"/>
      <c r="G381" s="655"/>
      <c r="H381" s="601"/>
      <c r="I381" s="601"/>
      <c r="J381" s="655"/>
      <c r="K381" s="601"/>
      <c r="L381" s="602"/>
      <c r="M381" s="601"/>
      <c r="N381" s="601"/>
      <c r="O381" s="601"/>
      <c r="P381" s="601"/>
      <c r="Q381" s="626"/>
      <c r="R381" s="322"/>
      <c r="S381" s="322"/>
      <c r="T381" s="322"/>
      <c r="U381" s="322"/>
      <c r="V381" s="322"/>
      <c r="W381" s="322"/>
      <c r="X381" s="322"/>
      <c r="Y381" s="322"/>
      <c r="Z381" s="322"/>
      <c r="AA381" s="322"/>
      <c r="AB381" s="322"/>
      <c r="AC381" s="322"/>
      <c r="AD381" s="322"/>
    </row>
    <row r="382" spans="8:8" customHeight="1">
      <c r="A382" s="601"/>
      <c r="B382" s="601"/>
      <c r="C382" s="601"/>
      <c r="D382" s="601"/>
      <c r="E382" s="601"/>
      <c r="F382" s="601"/>
      <c r="G382" s="601"/>
      <c r="H382" s="601"/>
      <c r="I382" s="601"/>
      <c r="J382" s="849"/>
      <c r="K382" s="601"/>
      <c r="L382" s="601"/>
      <c r="M382" s="601"/>
      <c r="N382" s="601"/>
      <c r="O382" s="601"/>
      <c r="P382" s="601"/>
      <c r="Q382" s="626"/>
      <c r="R382" s="322"/>
      <c r="S382" s="322"/>
      <c r="T382" s="322"/>
      <c r="U382" s="322"/>
      <c r="V382" s="322"/>
      <c r="W382" s="322"/>
      <c r="X382" s="322"/>
      <c r="Y382" s="322"/>
      <c r="Z382" s="322"/>
      <c r="AA382" s="322"/>
      <c r="AB382" s="322"/>
      <c r="AC382" s="322"/>
      <c r="AD382" s="322"/>
    </row>
    <row r="383" spans="8:8" customHeight="1">
      <c r="A383" s="601"/>
      <c r="B383" s="601"/>
      <c r="C383" s="601"/>
      <c r="D383" s="601"/>
      <c r="E383" s="601"/>
      <c r="F383" s="601"/>
      <c r="G383" s="601"/>
      <c r="H383" s="601"/>
      <c r="I383" s="601"/>
      <c r="J383" s="601"/>
      <c r="K383" s="601"/>
      <c r="L383" s="601"/>
      <c r="M383" s="601"/>
      <c r="N383" s="601"/>
      <c r="O383" s="601"/>
      <c r="P383" s="601"/>
      <c r="Q383" s="626"/>
      <c r="R383" s="322"/>
      <c r="S383" s="322"/>
      <c r="T383" s="322"/>
      <c r="U383" s="322"/>
      <c r="V383" s="322"/>
      <c r="W383" s="322"/>
      <c r="X383" s="322"/>
      <c r="Y383" s="322"/>
      <c r="Z383" s="322"/>
      <c r="AA383" s="322"/>
      <c r="AB383" s="322"/>
      <c r="AC383" s="322"/>
      <c r="AD383" s="322"/>
    </row>
    <row r="384" spans="8:8" customHeight="1">
      <c r="A384" s="626"/>
      <c r="B384" s="626"/>
      <c r="C384" s="626"/>
      <c r="D384" s="626"/>
      <c r="E384" s="626"/>
      <c r="F384" s="322"/>
      <c r="G384" s="322"/>
      <c r="H384" s="322"/>
      <c r="I384" s="322"/>
      <c r="J384" s="322"/>
      <c r="K384" s="322"/>
      <c r="L384" s="322"/>
      <c r="M384" s="322"/>
      <c r="N384" s="322"/>
      <c r="O384" s="322"/>
      <c r="P384" s="322"/>
      <c r="Q384" s="626"/>
      <c r="R384" s="322"/>
      <c r="S384" s="322"/>
      <c r="T384" s="322"/>
      <c r="U384" s="322"/>
      <c r="V384" s="322"/>
      <c r="W384" s="322"/>
      <c r="X384" s="322"/>
      <c r="Y384" s="322"/>
      <c r="Z384" s="322"/>
      <c r="AA384" s="322"/>
      <c r="AB384" s="322"/>
      <c r="AC384" s="322"/>
      <c r="AD384" s="322"/>
    </row>
    <row r="385" spans="8:8" customHeight="1">
      <c r="A385" s="626"/>
      <c r="B385" s="626"/>
      <c r="C385" s="626"/>
      <c r="D385" s="626"/>
      <c r="E385" s="626"/>
      <c r="F385" s="322"/>
      <c r="G385" s="322"/>
      <c r="H385" s="322"/>
      <c r="I385" s="322"/>
      <c r="J385" s="322"/>
      <c r="K385" s="322"/>
      <c r="L385" s="322"/>
      <c r="M385" s="322"/>
      <c r="N385" s="322"/>
      <c r="O385" s="322"/>
      <c r="P385" s="322"/>
      <c r="Q385" s="626"/>
      <c r="R385" s="322"/>
      <c r="S385" s="322"/>
      <c r="T385" s="322"/>
      <c r="U385" s="322"/>
      <c r="V385" s="322"/>
      <c r="W385" s="322"/>
      <c r="X385" s="322"/>
      <c r="Y385" s="322"/>
      <c r="Z385" s="322"/>
      <c r="AA385" s="322"/>
      <c r="AB385" s="322"/>
      <c r="AC385" s="322"/>
      <c r="AD385" s="322"/>
    </row>
    <row r="386" spans="8:8" customHeight="1">
      <c r="A386" s="626"/>
      <c r="B386" s="626"/>
      <c r="C386" s="626"/>
      <c r="D386" s="626"/>
      <c r="E386" s="626"/>
      <c r="F386" s="322"/>
      <c r="G386" s="322"/>
      <c r="H386" s="322"/>
      <c r="I386" s="322"/>
      <c r="J386" s="322"/>
      <c r="K386" s="322"/>
      <c r="L386" s="322"/>
      <c r="M386" s="322"/>
      <c r="Q386" s="626"/>
      <c r="R386" s="322"/>
      <c r="S386" s="322"/>
      <c r="T386" s="322"/>
      <c r="U386" s="322"/>
      <c r="V386" s="322"/>
      <c r="W386" s="322"/>
      <c r="X386" s="322"/>
      <c r="Y386" s="322"/>
      <c r="Z386" s="322"/>
      <c r="AA386" s="322"/>
      <c r="AB386" s="322"/>
      <c r="AC386" s="322"/>
      <c r="AD386" s="322"/>
    </row>
    <row r="387" spans="8:8" customHeight="1">
      <c r="A387" s="626"/>
      <c r="B387" s="626"/>
      <c r="C387" s="626"/>
      <c r="D387" s="626"/>
      <c r="E387" s="626"/>
      <c r="F387" s="322"/>
      <c r="G387" s="322"/>
      <c r="H387" s="322"/>
      <c r="I387" s="322"/>
      <c r="J387" s="322"/>
      <c r="K387" s="322"/>
      <c r="L387" s="322"/>
      <c r="M387" s="322"/>
      <c r="Q387" s="626"/>
      <c r="R387" s="322"/>
      <c r="S387" s="322"/>
      <c r="T387" s="322"/>
      <c r="U387" s="322"/>
      <c r="V387" s="322"/>
      <c r="W387" s="322"/>
      <c r="X387" s="322"/>
      <c r="Y387" s="322"/>
      <c r="Z387" s="322"/>
      <c r="AA387" s="322"/>
      <c r="AB387" s="322"/>
      <c r="AC387" s="322"/>
      <c r="AD387" s="322"/>
    </row>
    <row r="388" spans="8:8" customHeight="1">
      <c r="A388" s="626"/>
      <c r="B388" s="626"/>
      <c r="C388" s="626"/>
      <c r="D388" s="626"/>
      <c r="E388" s="626"/>
      <c r="F388" s="322"/>
      <c r="G388" s="322"/>
      <c r="H388" s="322"/>
      <c r="I388" s="322"/>
      <c r="J388" s="322"/>
      <c r="K388" s="322"/>
      <c r="L388" s="322"/>
      <c r="M388" s="322"/>
      <c r="Q388" s="626"/>
      <c r="R388" s="322"/>
      <c r="S388" s="322"/>
      <c r="T388" s="322"/>
      <c r="U388" s="322"/>
      <c r="V388" s="322"/>
      <c r="W388" s="322"/>
      <c r="X388" s="322"/>
      <c r="Y388" s="322"/>
      <c r="Z388" s="322"/>
      <c r="AA388" s="322"/>
      <c r="AB388" s="322"/>
      <c r="AC388" s="322"/>
      <c r="AD388" s="322"/>
    </row>
    <row r="389" spans="8:8" customHeight="1">
      <c r="A389" s="626"/>
      <c r="B389" s="626"/>
      <c r="C389" s="626"/>
      <c r="D389" s="626"/>
      <c r="E389" s="626"/>
      <c r="F389" s="322"/>
      <c r="G389" s="322"/>
      <c r="H389" s="322"/>
      <c r="I389" s="322"/>
      <c r="J389" s="322"/>
      <c r="K389" s="322"/>
      <c r="L389" s="322"/>
      <c r="M389" s="322"/>
      <c r="Q389" s="626"/>
      <c r="R389" s="322"/>
      <c r="S389" s="322"/>
      <c r="T389" s="322"/>
      <c r="U389" s="322"/>
      <c r="V389" s="322"/>
      <c r="W389" s="322"/>
      <c r="X389" s="322"/>
      <c r="Y389" s="322"/>
      <c r="Z389" s="322"/>
      <c r="AA389" s="322"/>
      <c r="AB389" s="322"/>
      <c r="AC389" s="322"/>
      <c r="AD389" s="322"/>
    </row>
    <row r="390" spans="8:8" customHeight="1">
      <c r="A390" s="626"/>
      <c r="B390" s="626"/>
      <c r="C390" s="626"/>
      <c r="D390" s="626"/>
      <c r="E390" s="626"/>
      <c r="F390" s="322"/>
      <c r="G390" s="322"/>
      <c r="H390" s="322"/>
      <c r="I390" s="322"/>
      <c r="J390" s="322"/>
      <c r="K390" s="322"/>
      <c r="L390" s="322"/>
      <c r="M390" s="322"/>
      <c r="Q390" s="626"/>
      <c r="R390" s="322"/>
      <c r="S390" s="322"/>
      <c r="T390" s="322"/>
      <c r="U390" s="322"/>
      <c r="V390" s="322"/>
      <c r="W390" s="322"/>
      <c r="X390" s="322"/>
      <c r="Y390" s="322"/>
      <c r="Z390" s="322"/>
      <c r="AA390" s="322"/>
      <c r="AB390" s="322"/>
      <c r="AC390" s="322"/>
      <c r="AD390" s="322"/>
    </row>
    <row r="391" spans="8:8" customHeight="1">
      <c r="A391" s="626"/>
      <c r="B391" s="626"/>
      <c r="C391" s="626"/>
      <c r="D391" s="626"/>
      <c r="E391" s="626"/>
      <c r="F391" s="322"/>
      <c r="G391" s="322"/>
      <c r="H391" s="322"/>
      <c r="I391" s="322"/>
      <c r="J391" s="322"/>
      <c r="K391" s="322"/>
      <c r="L391" s="322"/>
      <c r="M391" s="322"/>
      <c r="Q391" s="626"/>
      <c r="R391" s="322"/>
      <c r="S391" s="322"/>
      <c r="T391" s="322"/>
      <c r="U391" s="322"/>
      <c r="V391" s="322"/>
      <c r="W391" s="322"/>
      <c r="X391" s="322"/>
      <c r="Y391" s="322"/>
      <c r="Z391" s="322"/>
      <c r="AA391" s="322"/>
      <c r="AB391" s="322"/>
      <c r="AC391" s="322"/>
      <c r="AD391" s="322"/>
    </row>
    <row r="392" spans="8:8" customHeight="1">
      <c r="A392" s="626"/>
      <c r="B392" s="626"/>
      <c r="C392" s="626"/>
      <c r="D392" s="626"/>
      <c r="E392" s="626"/>
      <c r="F392" s="322"/>
      <c r="G392" s="322"/>
      <c r="H392" s="322"/>
      <c r="I392" s="322"/>
      <c r="J392" s="322"/>
      <c r="K392" s="322"/>
      <c r="L392" s="322"/>
      <c r="M392" s="322"/>
      <c r="Q392" s="626"/>
      <c r="R392" s="322"/>
      <c r="S392" s="322"/>
      <c r="T392" s="322"/>
      <c r="U392" s="322"/>
      <c r="V392" s="322"/>
      <c r="W392" s="322"/>
      <c r="X392" s="322"/>
      <c r="Y392" s="322"/>
      <c r="Z392" s="322"/>
      <c r="AA392" s="322"/>
      <c r="AB392" s="322"/>
      <c r="AC392" s="322"/>
      <c r="AD392" s="322"/>
    </row>
    <row r="393" spans="8:8" customHeight="1">
      <c r="A393" s="626"/>
      <c r="B393" s="626"/>
      <c r="C393" s="626"/>
      <c r="D393" s="626"/>
      <c r="E393" s="626"/>
      <c r="F393" s="322"/>
      <c r="G393" s="322"/>
      <c r="H393" s="322"/>
      <c r="I393" s="322"/>
      <c r="J393" s="322"/>
      <c r="K393" s="322"/>
      <c r="L393" s="322"/>
      <c r="M393" s="322"/>
      <c r="Q393" s="626"/>
      <c r="R393" s="322"/>
      <c r="S393" s="322"/>
      <c r="T393" s="322"/>
      <c r="U393" s="322"/>
      <c r="V393" s="322"/>
      <c r="W393" s="322"/>
      <c r="X393" s="322"/>
      <c r="Y393" s="322"/>
      <c r="Z393" s="322"/>
      <c r="AA393" s="322"/>
      <c r="AB393" s="322"/>
      <c r="AC393" s="322"/>
      <c r="AD393" s="322"/>
    </row>
    <row r="394" spans="8:8" customHeight="1">
      <c r="A394" s="626"/>
      <c r="B394" s="626"/>
      <c r="C394" s="626"/>
      <c r="D394" s="626"/>
      <c r="E394" s="626"/>
      <c r="F394" s="322"/>
      <c r="G394" s="322"/>
      <c r="H394" s="322"/>
      <c r="I394" s="322"/>
      <c r="J394" s="322"/>
      <c r="K394" s="322"/>
      <c r="L394" s="322"/>
      <c r="M394" s="322"/>
      <c r="Q394" s="626"/>
      <c r="R394" s="322"/>
      <c r="S394" s="322"/>
      <c r="T394" s="322"/>
      <c r="U394" s="322"/>
      <c r="V394" s="322"/>
      <c r="W394" s="322"/>
      <c r="X394" s="322"/>
      <c r="Y394" s="322"/>
      <c r="Z394" s="322"/>
      <c r="AA394" s="322"/>
      <c r="AB394" s="322"/>
      <c r="AC394" s="322"/>
      <c r="AD394" s="322"/>
    </row>
    <row r="395" spans="8:8" customHeight="1">
      <c r="A395" s="626"/>
      <c r="B395" s="626"/>
      <c r="C395" s="626"/>
      <c r="D395" s="626"/>
      <c r="E395" s="626"/>
      <c r="F395" s="322"/>
      <c r="G395" s="322"/>
      <c r="H395" s="322"/>
      <c r="I395" s="322"/>
      <c r="J395" s="322"/>
      <c r="K395" s="322"/>
      <c r="L395" s="322"/>
      <c r="M395" s="322"/>
      <c r="Q395" s="626"/>
      <c r="R395" s="322"/>
      <c r="S395" s="322"/>
      <c r="T395" s="322"/>
      <c r="U395" s="322"/>
      <c r="V395" s="322"/>
      <c r="W395" s="322"/>
      <c r="X395" s="322"/>
      <c r="Y395" s="322"/>
      <c r="Z395" s="322"/>
      <c r="AA395" s="322"/>
      <c r="AB395" s="322"/>
      <c r="AC395" s="322"/>
      <c r="AD395" s="322"/>
    </row>
    <row r="396" spans="8:8" customHeight="1">
      <c r="A396" s="626"/>
      <c r="B396" s="626"/>
      <c r="C396" s="626"/>
      <c r="D396" s="626"/>
      <c r="E396" s="626"/>
      <c r="F396" s="322"/>
      <c r="G396" s="322"/>
      <c r="H396" s="322"/>
      <c r="I396" s="322"/>
      <c r="J396" s="322"/>
      <c r="K396" s="322"/>
      <c r="L396" s="322"/>
      <c r="M396" s="322"/>
      <c r="Q396" s="626"/>
      <c r="R396" s="322"/>
      <c r="S396" s="322"/>
      <c r="T396" s="322"/>
      <c r="U396" s="322"/>
      <c r="V396" s="322"/>
      <c r="W396" s="322"/>
      <c r="X396" s="322"/>
      <c r="Y396" s="322"/>
      <c r="Z396" s="322"/>
      <c r="AA396" s="322"/>
      <c r="AB396" s="322"/>
      <c r="AC396" s="322"/>
      <c r="AD396" s="322"/>
    </row>
    <row r="397" spans="8:8" customHeight="1">
      <c r="A397" s="626"/>
      <c r="B397" s="626"/>
      <c r="C397" s="626"/>
      <c r="D397" s="626"/>
      <c r="E397" s="626"/>
      <c r="F397" s="322"/>
      <c r="G397" s="322"/>
      <c r="H397" s="322"/>
      <c r="I397" s="322"/>
      <c r="J397" s="322"/>
      <c r="K397" s="322"/>
      <c r="L397" s="322"/>
      <c r="M397" s="322"/>
      <c r="Q397" s="626"/>
      <c r="R397" s="322"/>
      <c r="S397" s="322"/>
      <c r="T397" s="322"/>
      <c r="U397" s="322"/>
      <c r="V397" s="322"/>
      <c r="W397" s="322"/>
      <c r="X397" s="322"/>
      <c r="Y397" s="322"/>
      <c r="Z397" s="322"/>
      <c r="AA397" s="322"/>
      <c r="AB397" s="322"/>
      <c r="AC397" s="322"/>
      <c r="AD397" s="322"/>
    </row>
    <row r="398" spans="8:8" customHeight="1">
      <c r="A398" s="626"/>
      <c r="B398" s="626"/>
      <c r="C398" s="626"/>
      <c r="D398" s="626"/>
      <c r="E398" s="626"/>
      <c r="F398" s="322"/>
      <c r="G398" s="322"/>
      <c r="H398" s="322"/>
      <c r="I398" s="322"/>
      <c r="J398" s="322"/>
      <c r="K398" s="322"/>
      <c r="L398" s="322"/>
      <c r="M398" s="322"/>
      <c r="Q398" s="626"/>
      <c r="R398" s="322"/>
      <c r="S398" s="322"/>
      <c r="T398" s="322"/>
      <c r="U398" s="322"/>
      <c r="V398" s="322"/>
      <c r="W398" s="322"/>
      <c r="X398" s="322"/>
      <c r="Y398" s="322"/>
      <c r="Z398" s="322"/>
      <c r="AA398" s="322"/>
      <c r="AB398" s="322"/>
      <c r="AC398" s="322"/>
      <c r="AD398" s="322"/>
    </row>
    <row r="399" spans="8:8" customHeight="1">
      <c r="A399" s="626"/>
      <c r="B399" s="626"/>
      <c r="C399" s="626"/>
      <c r="D399" s="626"/>
      <c r="E399" s="626"/>
      <c r="F399" s="322"/>
      <c r="G399" s="322"/>
      <c r="H399" s="322"/>
      <c r="I399" s="322"/>
      <c r="J399" s="322"/>
      <c r="K399" s="322"/>
      <c r="L399" s="322"/>
      <c r="M399" s="322"/>
      <c r="Q399" s="626"/>
      <c r="R399" s="322"/>
      <c r="S399" s="322"/>
      <c r="T399" s="322"/>
      <c r="U399" s="322"/>
      <c r="V399" s="322"/>
      <c r="W399" s="322"/>
      <c r="X399" s="322"/>
      <c r="Y399" s="322"/>
      <c r="Z399" s="322"/>
      <c r="AA399" s="322"/>
      <c r="AB399" s="322"/>
      <c r="AC399" s="322"/>
      <c r="AD399" s="322"/>
    </row>
    <row r="400" spans="8:8" customHeight="1">
      <c r="A400" s="626"/>
      <c r="B400" s="626"/>
      <c r="C400" s="626"/>
      <c r="D400" s="626"/>
      <c r="E400" s="626"/>
      <c r="F400" s="322"/>
      <c r="G400" s="322"/>
      <c r="H400" s="322"/>
      <c r="I400" s="322"/>
      <c r="J400" s="322"/>
      <c r="K400" s="322"/>
      <c r="L400" s="322"/>
      <c r="M400" s="322"/>
      <c r="Q400" s="626"/>
      <c r="R400" s="322"/>
      <c r="S400" s="322"/>
      <c r="T400" s="322"/>
      <c r="U400" s="322"/>
      <c r="V400" s="322"/>
      <c r="W400" s="322"/>
      <c r="X400" s="322"/>
      <c r="Y400" s="322"/>
      <c r="Z400" s="322"/>
      <c r="AA400" s="322"/>
      <c r="AB400" s="322"/>
      <c r="AC400" s="322"/>
      <c r="AD400" s="322"/>
    </row>
    <row r="401" spans="8:8" customHeight="1">
      <c r="A401" s="626"/>
      <c r="B401" s="626"/>
      <c r="C401" s="626"/>
      <c r="D401" s="626"/>
      <c r="E401" s="626"/>
      <c r="F401" s="322"/>
      <c r="G401" s="322"/>
      <c r="H401" s="322"/>
      <c r="I401" s="322"/>
      <c r="J401" s="322"/>
      <c r="K401" s="322"/>
      <c r="L401" s="322"/>
      <c r="M401" s="322"/>
      <c r="Q401" s="626"/>
      <c r="R401" s="322"/>
      <c r="S401" s="322"/>
      <c r="T401" s="322"/>
      <c r="U401" s="322"/>
      <c r="V401" s="322"/>
      <c r="W401" s="322"/>
      <c r="X401" s="322"/>
      <c r="Y401" s="322"/>
      <c r="Z401" s="322"/>
      <c r="AA401" s="322"/>
      <c r="AB401" s="322"/>
      <c r="AC401" s="322"/>
      <c r="AD401" s="322"/>
    </row>
    <row r="402" spans="8:8" customHeight="1">
      <c r="A402" s="626"/>
      <c r="B402" s="626"/>
      <c r="C402" s="626"/>
      <c r="D402" s="626"/>
      <c r="E402" s="626"/>
      <c r="F402" s="322"/>
      <c r="G402" s="322"/>
      <c r="H402" s="322"/>
      <c r="I402" s="322"/>
      <c r="J402" s="322"/>
      <c r="K402" s="322"/>
      <c r="L402" s="322"/>
      <c r="M402" s="322"/>
      <c r="Q402" s="322"/>
      <c r="R402" s="322"/>
      <c r="S402" s="322"/>
      <c r="T402" s="322"/>
      <c r="U402" s="322"/>
      <c r="V402" s="322"/>
      <c r="W402" s="322"/>
      <c r="X402" s="322"/>
      <c r="Y402" s="322"/>
      <c r="Z402" s="322"/>
      <c r="AA402" s="322"/>
      <c r="AB402" s="322"/>
      <c r="AC402" s="322"/>
      <c r="AD402" s="322"/>
    </row>
    <row r="403" spans="8:8" customHeight="1">
      <c r="A403" s="626"/>
      <c r="B403" s="626"/>
      <c r="C403" s="626"/>
      <c r="D403" s="626"/>
      <c r="E403" s="626"/>
      <c r="F403" s="322"/>
      <c r="G403" s="322"/>
      <c r="H403" s="322"/>
      <c r="I403" s="322"/>
      <c r="J403" s="322"/>
      <c r="K403" s="322"/>
      <c r="L403" s="322"/>
      <c r="M403" s="322"/>
      <c r="Q403" s="322"/>
      <c r="R403" s="322"/>
      <c r="S403" s="322"/>
      <c r="T403" s="322"/>
      <c r="U403" s="322"/>
      <c r="V403" s="322"/>
      <c r="W403" s="322"/>
      <c r="X403" s="322"/>
      <c r="Y403" s="322"/>
      <c r="Z403" s="322"/>
      <c r="AA403" s="322"/>
      <c r="AB403" s="322"/>
      <c r="AC403" s="322"/>
      <c r="AD403" s="322"/>
    </row>
    <row r="404" spans="8:8" customHeight="1">
      <c r="A404" s="626"/>
      <c r="B404" s="626"/>
      <c r="C404" s="626"/>
      <c r="D404" s="626"/>
      <c r="E404" s="626"/>
      <c r="F404" s="322"/>
      <c r="G404" s="322"/>
      <c r="H404" s="322"/>
      <c r="I404" s="322"/>
      <c r="J404" s="322"/>
      <c r="K404" s="322"/>
      <c r="L404" s="322"/>
      <c r="M404" s="322"/>
      <c r="V404" s="322"/>
      <c r="W404" s="322"/>
      <c r="X404" s="322"/>
      <c r="Y404" s="322"/>
      <c r="Z404" s="322"/>
      <c r="AA404" s="322"/>
      <c r="AB404" s="322"/>
      <c r="AC404" s="322"/>
      <c r="AD404" s="322"/>
    </row>
    <row r="405" spans="8:8" customHeight="1">
      <c r="A405" s="626"/>
      <c r="B405" s="626"/>
      <c r="C405" s="626"/>
      <c r="D405" s="626"/>
      <c r="E405" s="626"/>
      <c r="F405" s="322"/>
      <c r="G405" s="322"/>
      <c r="H405" s="322"/>
      <c r="I405" s="322"/>
      <c r="J405" s="322"/>
      <c r="K405" s="322"/>
      <c r="L405" s="322"/>
      <c r="M405" s="322"/>
      <c r="V405" s="322"/>
      <c r="W405" s="322"/>
      <c r="X405" s="322"/>
      <c r="Y405" s="322"/>
      <c r="Z405" s="322"/>
      <c r="AA405" s="322"/>
      <c r="AB405" s="322"/>
      <c r="AC405" s="322"/>
      <c r="AD405" s="322"/>
    </row>
    <row r="406" spans="8:8" customHeight="1">
      <c r="A406" s="626"/>
      <c r="B406" s="626"/>
      <c r="C406" s="626"/>
      <c r="D406" s="626"/>
      <c r="E406" s="626"/>
      <c r="F406" s="322"/>
      <c r="G406" s="322"/>
      <c r="H406" s="322"/>
      <c r="I406" s="322"/>
      <c r="J406" s="322"/>
      <c r="K406" s="322"/>
      <c r="L406" s="322"/>
      <c r="M406" s="322"/>
      <c r="V406" s="322"/>
      <c r="W406" s="322"/>
      <c r="X406" s="322"/>
      <c r="Y406" s="322"/>
      <c r="Z406" s="322"/>
      <c r="AA406" s="322"/>
      <c r="AB406" s="322"/>
      <c r="AC406" s="322"/>
      <c r="AD406" s="322"/>
    </row>
    <row r="407" spans="8:8" customHeight="1">
      <c r="A407" s="626"/>
      <c r="B407" s="626"/>
      <c r="C407" s="626"/>
      <c r="D407" s="626"/>
      <c r="E407" s="626"/>
      <c r="F407" s="322"/>
      <c r="G407" s="322"/>
      <c r="H407" s="322"/>
      <c r="I407" s="322"/>
      <c r="J407" s="322"/>
      <c r="K407" s="322"/>
      <c r="L407" s="322"/>
      <c r="M407" s="322"/>
      <c r="N407" s="322"/>
      <c r="O407" s="322"/>
      <c r="P407" s="322"/>
      <c r="V407" s="322"/>
      <c r="W407" s="322"/>
      <c r="X407" s="322"/>
      <c r="Y407" s="322"/>
      <c r="Z407" s="322"/>
      <c r="AA407" s="322"/>
      <c r="AB407" s="322"/>
      <c r="AC407" s="322"/>
      <c r="AD407" s="322"/>
    </row>
    <row r="408" spans="8:8" customHeight="1">
      <c r="A408" s="626"/>
      <c r="B408" s="626"/>
      <c r="C408" s="626"/>
      <c r="D408" s="626"/>
      <c r="E408" s="626"/>
      <c r="F408" s="322"/>
      <c r="G408" s="322"/>
      <c r="H408" s="322"/>
      <c r="I408" s="322"/>
      <c r="J408" s="322"/>
      <c r="K408" s="322"/>
      <c r="L408" s="322"/>
      <c r="M408" s="322"/>
      <c r="N408" s="322"/>
      <c r="O408" s="322"/>
      <c r="P408" s="322"/>
      <c r="V408" s="322"/>
      <c r="W408" s="322"/>
      <c r="X408" s="322"/>
      <c r="Y408" s="322"/>
      <c r="Z408" s="322"/>
      <c r="AA408" s="322"/>
      <c r="AB408" s="322"/>
      <c r="AC408" s="322"/>
      <c r="AD408" s="322"/>
    </row>
    <row r="409" spans="8:8" customHeight="1">
      <c r="A409" s="626"/>
      <c r="B409" s="626"/>
      <c r="C409" s="626"/>
      <c r="D409" s="626"/>
      <c r="E409" s="626"/>
      <c r="F409" s="322"/>
      <c r="G409" s="322"/>
      <c r="H409" s="322"/>
      <c r="I409" s="322"/>
      <c r="J409" s="322"/>
      <c r="K409" s="322"/>
      <c r="L409" s="322"/>
      <c r="M409" s="322"/>
      <c r="N409" s="322"/>
      <c r="O409" s="322"/>
      <c r="P409" s="322"/>
      <c r="V409" s="322"/>
      <c r="W409" s="322"/>
      <c r="X409" s="322"/>
      <c r="Y409" s="322"/>
      <c r="Z409" s="322"/>
      <c r="AA409" s="322"/>
      <c r="AB409" s="322"/>
      <c r="AC409" s="322"/>
      <c r="AD409" s="322"/>
    </row>
    <row r="410" spans="8:8" customHeight="1">
      <c r="A410" s="626"/>
      <c r="B410" s="626"/>
      <c r="C410" s="626"/>
      <c r="D410" s="626"/>
      <c r="E410" s="626"/>
      <c r="F410" s="322"/>
      <c r="G410" s="322"/>
      <c r="H410" s="322"/>
      <c r="I410" s="322"/>
      <c r="J410" s="322"/>
      <c r="K410" s="322"/>
      <c r="L410" s="322"/>
      <c r="M410" s="322"/>
      <c r="N410" s="322"/>
      <c r="O410" s="322"/>
      <c r="P410" s="322"/>
      <c r="V410" s="322"/>
      <c r="W410" s="322"/>
      <c r="X410" s="322"/>
      <c r="Y410" s="322"/>
      <c r="Z410" s="322"/>
      <c r="AA410" s="322"/>
      <c r="AB410" s="322"/>
      <c r="AC410" s="322"/>
      <c r="AD410" s="322"/>
    </row>
    <row r="411" spans="8:8" customHeight="1">
      <c r="A411" s="626"/>
      <c r="B411" s="626"/>
      <c r="C411" s="626"/>
      <c r="D411" s="626"/>
      <c r="E411" s="626"/>
      <c r="F411" s="322"/>
      <c r="G411" s="322"/>
      <c r="H411" s="322"/>
      <c r="I411" s="322"/>
      <c r="J411" s="322"/>
      <c r="K411" s="322"/>
      <c r="L411" s="322"/>
      <c r="M411" s="322"/>
      <c r="N411" s="322"/>
      <c r="O411" s="322"/>
      <c r="P411" s="322"/>
      <c r="V411" s="322"/>
      <c r="W411" s="322"/>
      <c r="X411" s="322"/>
      <c r="Y411" s="322"/>
      <c r="Z411" s="322"/>
      <c r="AA411" s="322"/>
      <c r="AB411" s="322"/>
      <c r="AC411" s="322"/>
      <c r="AD411" s="322"/>
    </row>
    <row r="412" spans="8:8" customHeight="1">
      <c r="A412" s="626"/>
      <c r="B412" s="626"/>
      <c r="C412" s="626"/>
      <c r="D412" s="626"/>
      <c r="E412" s="626"/>
      <c r="F412" s="322"/>
      <c r="G412" s="322"/>
      <c r="H412" s="322"/>
      <c r="I412" s="322"/>
      <c r="J412" s="322"/>
      <c r="K412" s="322"/>
      <c r="L412" s="322"/>
      <c r="M412" s="322"/>
      <c r="N412" s="322"/>
      <c r="O412" s="322"/>
      <c r="P412" s="322"/>
      <c r="V412" s="322"/>
      <c r="W412" s="322"/>
      <c r="X412" s="322"/>
      <c r="Y412" s="322"/>
      <c r="Z412" s="322"/>
      <c r="AA412" s="322"/>
      <c r="AB412" s="322"/>
      <c r="AC412" s="322"/>
      <c r="AD412" s="322"/>
    </row>
    <row r="413" spans="8:8" customHeight="1">
      <c r="A413" s="626"/>
      <c r="B413" s="626"/>
      <c r="C413" s="626"/>
      <c r="D413" s="626"/>
      <c r="E413" s="626"/>
      <c r="F413" s="322"/>
      <c r="G413" s="322"/>
      <c r="H413" s="322"/>
      <c r="I413" s="322"/>
      <c r="J413" s="322"/>
      <c r="K413" s="322"/>
      <c r="L413" s="322"/>
      <c r="M413" s="322"/>
      <c r="N413" s="322"/>
      <c r="O413" s="322"/>
      <c r="P413" s="322"/>
      <c r="V413" s="322"/>
      <c r="W413" s="322"/>
      <c r="X413" s="322"/>
      <c r="Y413" s="322"/>
      <c r="Z413" s="322"/>
      <c r="AA413" s="322"/>
      <c r="AB413" s="322"/>
      <c r="AC413" s="322"/>
      <c r="AD413" s="322"/>
    </row>
    <row r="414" spans="8:8" customHeight="1">
      <c r="A414" s="626"/>
      <c r="B414" s="626"/>
      <c r="C414" s="626"/>
      <c r="D414" s="626"/>
      <c r="E414" s="626"/>
      <c r="F414" s="322"/>
      <c r="G414" s="322"/>
      <c r="H414" s="322"/>
      <c r="I414" s="322"/>
      <c r="J414" s="322"/>
      <c r="K414" s="322"/>
      <c r="L414" s="322"/>
      <c r="M414" s="322"/>
      <c r="N414" s="322"/>
      <c r="O414" s="322"/>
      <c r="P414" s="322"/>
      <c r="V414" s="322"/>
      <c r="W414" s="322"/>
      <c r="X414" s="322"/>
      <c r="Y414" s="322"/>
      <c r="Z414" s="322"/>
      <c r="AA414" s="322"/>
      <c r="AB414" s="322"/>
      <c r="AC414" s="322"/>
      <c r="AD414" s="322"/>
    </row>
    <row r="415" spans="8:8" customHeight="1">
      <c r="A415" s="626"/>
      <c r="B415" s="626"/>
      <c r="C415" s="626"/>
      <c r="D415" s="626"/>
      <c r="E415" s="626"/>
      <c r="F415" s="322"/>
      <c r="G415" s="322"/>
      <c r="H415" s="322"/>
      <c r="I415" s="322"/>
      <c r="J415" s="322"/>
      <c r="K415" s="322"/>
      <c r="L415" s="322"/>
      <c r="M415" s="322"/>
      <c r="N415" s="322"/>
      <c r="O415" s="322"/>
      <c r="P415" s="322"/>
      <c r="V415" s="322"/>
      <c r="W415" s="322"/>
      <c r="X415" s="322"/>
      <c r="Y415" s="322"/>
      <c r="Z415" s="322"/>
      <c r="AA415" s="322"/>
      <c r="AB415" s="322"/>
      <c r="AC415" s="322"/>
      <c r="AD415" s="322"/>
    </row>
    <row r="416" spans="8:8" customHeight="1">
      <c r="A416" s="626"/>
      <c r="B416" s="626"/>
      <c r="C416" s="626"/>
      <c r="D416" s="626"/>
      <c r="E416" s="626"/>
      <c r="F416" s="322"/>
      <c r="G416" s="322"/>
      <c r="H416" s="322"/>
      <c r="I416" s="322"/>
      <c r="J416" s="322"/>
      <c r="K416" s="322"/>
      <c r="L416" s="322"/>
      <c r="M416" s="322"/>
      <c r="N416" s="322"/>
      <c r="O416" s="322"/>
      <c r="P416" s="322"/>
      <c r="V416" s="322"/>
      <c r="W416" s="322"/>
      <c r="X416" s="322"/>
      <c r="Y416" s="322"/>
      <c r="Z416" s="322"/>
      <c r="AA416" s="322"/>
      <c r="AB416" s="322"/>
      <c r="AC416" s="322"/>
      <c r="AD416" s="322"/>
    </row>
    <row r="417" spans="8:8" customHeight="1">
      <c r="A417" s="626"/>
      <c r="B417" s="626"/>
      <c r="C417" s="626"/>
      <c r="D417" s="626"/>
      <c r="E417" s="626"/>
      <c r="F417" s="322"/>
      <c r="G417" s="322"/>
      <c r="H417" s="322"/>
      <c r="I417" s="322"/>
      <c r="J417" s="322"/>
      <c r="K417" s="322"/>
      <c r="L417" s="322"/>
      <c r="M417" s="322"/>
      <c r="N417" s="322"/>
      <c r="O417" s="322"/>
      <c r="P417" s="322"/>
      <c r="V417" s="322"/>
      <c r="W417" s="322"/>
      <c r="X417" s="322"/>
      <c r="Y417" s="322"/>
      <c r="Z417" s="322"/>
      <c r="AA417" s="322"/>
      <c r="AB417" s="322"/>
      <c r="AC417" s="322"/>
      <c r="AD417" s="322"/>
    </row>
    <row r="418" spans="8:8" customHeight="1">
      <c r="A418" s="626"/>
      <c r="B418" s="626"/>
      <c r="C418" s="626"/>
      <c r="D418" s="626"/>
      <c r="E418" s="626"/>
      <c r="F418" s="322"/>
      <c r="G418" s="322"/>
      <c r="H418" s="322"/>
      <c r="I418" s="322"/>
      <c r="J418" s="322"/>
      <c r="K418" s="322"/>
      <c r="L418" s="322"/>
      <c r="M418" s="322"/>
      <c r="N418" s="322"/>
      <c r="O418" s="322"/>
      <c r="P418" s="322"/>
      <c r="V418" s="322"/>
      <c r="W418" s="322"/>
      <c r="X418" s="322"/>
      <c r="Y418" s="322"/>
      <c r="Z418" s="322"/>
      <c r="AA418" s="322"/>
      <c r="AB418" s="322"/>
      <c r="AC418" s="322"/>
      <c r="AD418" s="322"/>
    </row>
    <row r="419" spans="8:8" customHeight="1">
      <c r="A419" s="626"/>
      <c r="B419" s="626"/>
      <c r="C419" s="626"/>
      <c r="D419" s="626"/>
      <c r="E419" s="626"/>
      <c r="F419" s="322"/>
      <c r="G419" s="322"/>
      <c r="H419" s="322"/>
      <c r="I419" s="322"/>
      <c r="J419" s="322"/>
      <c r="K419" s="322"/>
      <c r="L419" s="322"/>
      <c r="M419" s="322"/>
      <c r="N419" s="322"/>
      <c r="O419" s="322"/>
      <c r="P419" s="322"/>
      <c r="V419" s="322"/>
      <c r="W419" s="322"/>
      <c r="X419" s="322"/>
      <c r="Y419" s="322"/>
      <c r="Z419" s="322"/>
      <c r="AA419" s="322"/>
      <c r="AB419" s="322"/>
      <c r="AC419" s="322"/>
      <c r="AD419" s="322"/>
    </row>
    <row r="420" spans="8:8" customHeight="1">
      <c r="A420" s="626"/>
      <c r="B420" s="626"/>
      <c r="C420" s="626"/>
      <c r="D420" s="626"/>
      <c r="E420" s="626"/>
      <c r="F420" s="322"/>
      <c r="G420" s="322"/>
      <c r="H420" s="322"/>
      <c r="I420" s="322"/>
      <c r="J420" s="322"/>
      <c r="K420" s="322"/>
      <c r="L420" s="322"/>
      <c r="M420" s="322"/>
      <c r="N420" s="322"/>
      <c r="O420" s="322"/>
      <c r="P420" s="322"/>
      <c r="V420" s="322"/>
      <c r="W420" s="322"/>
      <c r="X420" s="322"/>
      <c r="Y420" s="322"/>
      <c r="Z420" s="322"/>
      <c r="AA420" s="322"/>
      <c r="AB420" s="322"/>
      <c r="AC420" s="322"/>
      <c r="AD420" s="322"/>
    </row>
    <row r="421" spans="8:8" customHeight="1">
      <c r="A421" s="626"/>
      <c r="B421" s="626"/>
      <c r="C421" s="626"/>
      <c r="D421" s="626"/>
      <c r="E421" s="626"/>
      <c r="F421" s="322"/>
      <c r="G421" s="322"/>
      <c r="H421" s="322"/>
      <c r="I421" s="322"/>
      <c r="J421" s="322"/>
      <c r="K421" s="322"/>
      <c r="L421" s="322"/>
      <c r="M421" s="322"/>
      <c r="N421" s="322"/>
      <c r="O421" s="322"/>
      <c r="P421" s="322"/>
      <c r="V421" s="322"/>
      <c r="W421" s="322"/>
      <c r="X421" s="322"/>
      <c r="Y421" s="322"/>
      <c r="Z421" s="322"/>
      <c r="AA421" s="322"/>
      <c r="AB421" s="322"/>
      <c r="AC421" s="322"/>
      <c r="AD421" s="322"/>
    </row>
    <row r="422" spans="8:8" customHeight="1">
      <c r="A422" s="626"/>
      <c r="B422" s="626"/>
      <c r="C422" s="626"/>
      <c r="D422" s="626"/>
      <c r="E422" s="626"/>
      <c r="F422" s="322"/>
      <c r="G422" s="322"/>
      <c r="H422" s="322"/>
      <c r="I422" s="322"/>
      <c r="J422" s="322"/>
      <c r="K422" s="322"/>
      <c r="L422" s="322"/>
      <c r="M422" s="322"/>
      <c r="N422" s="322"/>
      <c r="O422" s="322"/>
      <c r="P422" s="322"/>
    </row>
    <row r="423" spans="8:8" customHeight="1">
      <c r="A423" s="626"/>
      <c r="B423" s="626"/>
      <c r="C423" s="626"/>
      <c r="D423" s="626"/>
      <c r="E423" s="626"/>
      <c r="F423" s="322"/>
      <c r="G423" s="322"/>
      <c r="H423" s="322"/>
      <c r="I423" s="322"/>
      <c r="J423" s="322"/>
      <c r="K423" s="322"/>
      <c r="L423" s="322"/>
      <c r="M423" s="322"/>
      <c r="N423" s="322"/>
      <c r="O423" s="322"/>
      <c r="P423" s="322"/>
    </row>
    <row r="424" spans="8:8" customHeight="1">
      <c r="A424" s="626"/>
      <c r="B424" s="626"/>
      <c r="C424" s="626"/>
      <c r="D424" s="626"/>
      <c r="E424" s="626"/>
      <c r="F424" s="322"/>
      <c r="G424" s="322"/>
      <c r="H424" s="322"/>
      <c r="I424" s="322"/>
      <c r="J424" s="322"/>
      <c r="K424" s="322"/>
      <c r="L424" s="322"/>
      <c r="M424" s="322"/>
      <c r="N424" s="322"/>
      <c r="O424" s="322"/>
      <c r="P424" s="322"/>
    </row>
    <row r="425" spans="8:8" customHeight="1">
      <c r="A425" s="626"/>
      <c r="B425" s="626"/>
      <c r="C425" s="626"/>
      <c r="D425" s="626"/>
      <c r="E425" s="626"/>
      <c r="F425" s="322"/>
      <c r="G425" s="322"/>
      <c r="H425" s="322"/>
      <c r="I425" s="322"/>
      <c r="J425" s="322"/>
      <c r="K425" s="322"/>
      <c r="L425" s="322"/>
      <c r="M425" s="322"/>
      <c r="N425" s="322"/>
      <c r="O425" s="322"/>
      <c r="P425" s="322"/>
      <c r="Q425" s="322"/>
      <c r="R425" s="322"/>
      <c r="S425" s="322"/>
      <c r="T425" s="322"/>
      <c r="U425" s="322"/>
    </row>
    <row r="426" spans="8:8" customHeight="1">
      <c r="A426" s="626"/>
      <c r="B426" s="626"/>
      <c r="C426" s="626"/>
      <c r="D426" s="626"/>
      <c r="E426" s="626"/>
      <c r="F426" s="322"/>
      <c r="G426" s="322"/>
      <c r="H426" s="322"/>
      <c r="I426" s="322"/>
      <c r="J426" s="322"/>
      <c r="K426" s="322"/>
      <c r="L426" s="322"/>
      <c r="M426" s="322"/>
      <c r="N426" s="322"/>
      <c r="O426" s="322"/>
      <c r="P426" s="322"/>
      <c r="Q426" s="322"/>
      <c r="R426" s="322"/>
      <c r="S426" s="322"/>
      <c r="T426" s="322"/>
      <c r="U426" s="322"/>
    </row>
    <row r="427" spans="8:8" customHeight="1">
      <c r="A427" s="626"/>
      <c r="B427" s="626"/>
      <c r="C427" s="626"/>
      <c r="D427" s="626"/>
      <c r="E427" s="626"/>
      <c r="F427" s="322"/>
      <c r="G427" s="322"/>
      <c r="H427" s="322"/>
      <c r="I427" s="322"/>
      <c r="J427" s="322"/>
      <c r="K427" s="322"/>
      <c r="L427" s="322"/>
      <c r="M427" s="322"/>
      <c r="N427" s="322"/>
      <c r="O427" s="322"/>
      <c r="P427" s="322"/>
      <c r="Q427" s="322"/>
      <c r="R427" s="322"/>
      <c r="S427" s="322"/>
      <c r="T427" s="322"/>
      <c r="U427" s="322"/>
    </row>
    <row r="428" spans="8:8" customHeight="1">
      <c r="A428" s="850"/>
      <c r="B428" s="850"/>
      <c r="C428" s="627"/>
      <c r="D428" s="627"/>
      <c r="E428" s="627"/>
      <c r="Q428" s="322"/>
      <c r="R428" s="322"/>
      <c r="S428" s="322"/>
      <c r="T428" s="322"/>
      <c r="U428" s="322"/>
    </row>
    <row r="429" spans="8:8" customHeight="1">
      <c r="A429" s="850"/>
      <c r="B429" s="850"/>
      <c r="C429" s="627"/>
      <c r="D429" s="627"/>
      <c r="E429" s="627"/>
      <c r="Q429" s="322"/>
      <c r="R429" s="322"/>
      <c r="S429" s="322"/>
      <c r="T429" s="322"/>
      <c r="U429" s="322"/>
    </row>
    <row r="430" spans="8:8" customHeight="1">
      <c r="A430" s="850"/>
      <c r="B430" s="850"/>
      <c r="C430" s="627"/>
      <c r="D430" s="627"/>
      <c r="E430" s="627"/>
      <c r="Q430" s="322"/>
      <c r="R430" s="322"/>
      <c r="S430" s="322"/>
      <c r="T430" s="322"/>
      <c r="U430" s="322"/>
    </row>
    <row r="431" spans="8:8" customHeight="1">
      <c r="A431" s="850"/>
      <c r="B431" s="850"/>
      <c r="C431" s="627"/>
      <c r="D431" s="627"/>
      <c r="E431" s="627"/>
      <c r="Q431" s="322"/>
      <c r="R431" s="322"/>
      <c r="S431" s="322"/>
      <c r="T431" s="322"/>
      <c r="U431" s="322"/>
    </row>
    <row r="432" spans="8:8" customHeight="1">
      <c r="A432" s="850"/>
      <c r="B432" s="850"/>
      <c r="C432" s="627"/>
      <c r="D432" s="627"/>
      <c r="E432" s="627"/>
      <c r="Q432" s="322"/>
      <c r="R432" s="322"/>
      <c r="S432" s="322"/>
      <c r="T432" s="322"/>
      <c r="U432" s="322"/>
    </row>
    <row r="433" spans="8:8" customHeight="1">
      <c r="A433" s="850"/>
      <c r="B433" s="850"/>
      <c r="C433" s="627"/>
      <c r="D433" s="627"/>
      <c r="E433" s="627"/>
      <c r="Q433" s="322"/>
      <c r="R433" s="322"/>
      <c r="S433" s="322"/>
      <c r="T433" s="322"/>
      <c r="U433" s="322"/>
    </row>
    <row r="434" spans="8:8" customHeight="1">
      <c r="A434" s="850"/>
      <c r="B434" s="850"/>
      <c r="C434" s="627"/>
      <c r="D434" s="627"/>
      <c r="E434" s="627"/>
      <c r="Q434" s="322"/>
      <c r="R434" s="322"/>
      <c r="S434" s="322"/>
      <c r="T434" s="322"/>
      <c r="U434" s="322"/>
    </row>
    <row r="435" spans="8:8" customHeight="1">
      <c r="A435" s="850"/>
      <c r="B435" s="850"/>
      <c r="C435" s="627"/>
      <c r="D435" s="627"/>
      <c r="E435" s="627"/>
      <c r="Q435" s="322"/>
      <c r="R435" s="322"/>
      <c r="S435" s="322"/>
      <c r="T435" s="322"/>
      <c r="U435" s="322"/>
    </row>
    <row r="436" spans="8:8" customHeight="1">
      <c r="A436" s="850"/>
      <c r="B436" s="850"/>
      <c r="C436" s="627"/>
      <c r="D436" s="627"/>
      <c r="E436" s="627"/>
      <c r="Q436" s="322"/>
      <c r="R436" s="322"/>
      <c r="S436" s="322"/>
      <c r="T436" s="322"/>
      <c r="U436" s="322"/>
    </row>
    <row r="437" spans="8:8" customHeight="1">
      <c r="A437" s="850"/>
      <c r="B437" s="850"/>
      <c r="C437" s="627"/>
      <c r="D437" s="627"/>
      <c r="E437" s="627"/>
      <c r="Q437" s="322"/>
      <c r="R437" s="322"/>
      <c r="S437" s="322"/>
      <c r="T437" s="322"/>
      <c r="U437" s="322"/>
    </row>
    <row r="438" spans="8:8" customHeight="1">
      <c r="A438" s="850"/>
      <c r="B438" s="850"/>
      <c r="C438" s="627"/>
      <c r="D438" s="627"/>
      <c r="E438" s="627"/>
      <c r="Q438" s="322"/>
      <c r="R438" s="322"/>
      <c r="S438" s="322"/>
      <c r="T438" s="322"/>
      <c r="U438" s="322"/>
    </row>
    <row r="439" spans="8:8" customHeight="1">
      <c r="A439" s="850"/>
      <c r="B439" s="850"/>
      <c r="C439" s="627"/>
      <c r="D439" s="627"/>
      <c r="E439" s="627"/>
      <c r="Q439" s="322"/>
      <c r="R439" s="322"/>
      <c r="S439" s="322"/>
      <c r="T439" s="322"/>
      <c r="U439" s="322"/>
    </row>
    <row r="440" spans="8:8" customHeight="1">
      <c r="A440" s="850"/>
      <c r="B440" s="850"/>
      <c r="C440" s="627"/>
      <c r="D440" s="627"/>
      <c r="E440" s="627"/>
      <c r="Q440" s="322"/>
      <c r="R440" s="322"/>
      <c r="S440" s="322"/>
      <c r="T440" s="322"/>
      <c r="U440" s="322"/>
    </row>
    <row r="441" spans="8:8" customHeight="1">
      <c r="A441" s="850"/>
      <c r="B441" s="850"/>
      <c r="C441" s="627"/>
      <c r="D441" s="627"/>
      <c r="E441" s="627"/>
      <c r="Q441" s="322"/>
      <c r="R441" s="322"/>
      <c r="S441" s="322"/>
      <c r="T441" s="322"/>
      <c r="U441" s="322"/>
    </row>
    <row r="442" spans="8:8" customHeight="1">
      <c r="A442" s="850"/>
      <c r="B442" s="850"/>
      <c r="C442" s="627"/>
      <c r="D442" s="627"/>
      <c r="E442" s="627"/>
      <c r="Q442" s="322"/>
      <c r="R442" s="322"/>
      <c r="S442" s="322"/>
      <c r="T442" s="322"/>
      <c r="U442" s="322"/>
    </row>
    <row r="443" spans="8:8" customHeight="1">
      <c r="A443" s="850"/>
      <c r="B443" s="850"/>
      <c r="C443" s="627"/>
      <c r="D443" s="627"/>
      <c r="E443" s="627"/>
      <c r="Q443" s="322"/>
      <c r="R443" s="322"/>
      <c r="S443" s="322"/>
      <c r="T443" s="322"/>
      <c r="U443" s="322"/>
      <c r="V443" s="322"/>
      <c r="W443" s="322"/>
      <c r="X443" s="322"/>
      <c r="Y443" s="322"/>
      <c r="Z443" s="322"/>
      <c r="AA443" s="322"/>
      <c r="AB443" s="322"/>
      <c r="AC443" s="322"/>
      <c r="AD443" s="322"/>
    </row>
    <row r="444" spans="8:8" customHeight="1">
      <c r="A444" s="851"/>
      <c r="B444" s="851"/>
      <c r="Q444" s="322"/>
      <c r="R444" s="322"/>
      <c r="S444" s="322"/>
      <c r="T444" s="322"/>
      <c r="U444" s="322"/>
      <c r="V444" s="322"/>
      <c r="W444" s="322"/>
      <c r="X444" s="322"/>
      <c r="Y444" s="322"/>
      <c r="Z444" s="322"/>
      <c r="AA444" s="322"/>
      <c r="AB444" s="322"/>
      <c r="AC444" s="322"/>
      <c r="AD444" s="322"/>
    </row>
    <row r="445" spans="8:8" customHeight="1">
      <c r="Q445" s="322"/>
      <c r="R445" s="322"/>
      <c r="S445" s="322"/>
      <c r="T445" s="322"/>
      <c r="U445" s="322"/>
      <c r="V445" s="322"/>
      <c r="W445" s="322"/>
      <c r="X445" s="322"/>
      <c r="Y445" s="322"/>
      <c r="Z445" s="322"/>
      <c r="AA445" s="322"/>
      <c r="AB445" s="322"/>
      <c r="AC445" s="322"/>
      <c r="AD445" s="322"/>
    </row>
    <row r="446" spans="8:8" customHeight="1">
      <c r="V446" s="322"/>
      <c r="W446" s="322"/>
      <c r="X446" s="322"/>
      <c r="Y446" s="322"/>
      <c r="Z446" s="322"/>
      <c r="AA446" s="322"/>
      <c r="AB446" s="322"/>
      <c r="AC446" s="322"/>
      <c r="AD446" s="322"/>
    </row>
    <row r="447" spans="8:8" customHeight="1">
      <c r="V447" s="322"/>
      <c r="W447" s="322"/>
      <c r="X447" s="322"/>
      <c r="Y447" s="322"/>
      <c r="Z447" s="322"/>
      <c r="AA447" s="322"/>
      <c r="AB447" s="322"/>
      <c r="AC447" s="322"/>
      <c r="AD447" s="322"/>
    </row>
    <row r="448" spans="8:8" customHeight="1">
      <c r="V448" s="322"/>
      <c r="W448" s="322"/>
      <c r="X448" s="322"/>
      <c r="Y448" s="322"/>
      <c r="Z448" s="322"/>
      <c r="AA448" s="322"/>
      <c r="AB448" s="322"/>
      <c r="AC448" s="322"/>
      <c r="AD448" s="322"/>
    </row>
    <row r="449" spans="8:8" customHeight="1">
      <c r="V449" s="322"/>
      <c r="W449" s="322"/>
      <c r="X449" s="322"/>
      <c r="Y449" s="322"/>
      <c r="Z449" s="322"/>
      <c r="AA449" s="322"/>
      <c r="AB449" s="322"/>
      <c r="AC449" s="322"/>
      <c r="AD449" s="322"/>
    </row>
    <row r="450" spans="8:8" customHeight="1">
      <c r="V450" s="322"/>
      <c r="W450" s="322"/>
      <c r="X450" s="322"/>
      <c r="Y450" s="322"/>
      <c r="Z450" s="322"/>
      <c r="AA450" s="322"/>
      <c r="AB450" s="322"/>
      <c r="AC450" s="322"/>
      <c r="AD450" s="322"/>
    </row>
    <row r="451" spans="8:8" customHeight="1">
      <c r="V451" s="322"/>
      <c r="W451" s="322"/>
      <c r="X451" s="322"/>
      <c r="Y451" s="322"/>
      <c r="Z451" s="322"/>
      <c r="AA451" s="322"/>
      <c r="AB451" s="322"/>
      <c r="AC451" s="322"/>
      <c r="AD451" s="322"/>
    </row>
    <row r="452" spans="8:8" customHeight="1">
      <c r="V452" s="322"/>
      <c r="W452" s="322"/>
      <c r="X452" s="322"/>
      <c r="Y452" s="322"/>
      <c r="Z452" s="322"/>
      <c r="AA452" s="322"/>
      <c r="AB452" s="322"/>
      <c r="AC452" s="322"/>
      <c r="AD452" s="322"/>
    </row>
    <row r="453" spans="8:8" customHeight="1">
      <c r="V453" s="322"/>
      <c r="W453" s="322"/>
      <c r="X453" s="322"/>
      <c r="Y453" s="322"/>
      <c r="Z453" s="322"/>
      <c r="AA453" s="322"/>
      <c r="AB453" s="322"/>
      <c r="AC453" s="322"/>
      <c r="AD453" s="322"/>
    </row>
    <row r="454" spans="8:8" customHeight="1">
      <c r="V454" s="322"/>
      <c r="W454" s="322"/>
      <c r="X454" s="322"/>
      <c r="Y454" s="322"/>
      <c r="Z454" s="322"/>
      <c r="AA454" s="322"/>
      <c r="AB454" s="322"/>
      <c r="AC454" s="322"/>
      <c r="AD454" s="322"/>
    </row>
    <row r="455" spans="8:8" customHeight="1">
      <c r="V455" s="322"/>
      <c r="W455" s="322"/>
      <c r="X455" s="322"/>
      <c r="Y455" s="322"/>
      <c r="Z455" s="322"/>
      <c r="AA455" s="322"/>
      <c r="AB455" s="322"/>
      <c r="AC455" s="322"/>
      <c r="AD455" s="322"/>
    </row>
    <row r="456" spans="8:8" customHeight="1">
      <c r="V456" s="322"/>
      <c r="W456" s="322"/>
      <c r="X456" s="322"/>
      <c r="Y456" s="322"/>
      <c r="Z456" s="322"/>
      <c r="AA456" s="322"/>
      <c r="AB456" s="322"/>
      <c r="AC456" s="322"/>
      <c r="AD456" s="322"/>
    </row>
    <row r="457" spans="8:8" customHeight="1">
      <c r="V457" s="322"/>
      <c r="W457" s="322"/>
      <c r="X457" s="322"/>
      <c r="Y457" s="322"/>
      <c r="Z457" s="322"/>
      <c r="AA457" s="322"/>
      <c r="AB457" s="322"/>
      <c r="AC457" s="322"/>
      <c r="AD457" s="322"/>
    </row>
    <row r="458" spans="8:8" customHeight="1">
      <c r="V458" s="322"/>
      <c r="W458" s="322"/>
      <c r="X458" s="322"/>
      <c r="Y458" s="322"/>
      <c r="Z458" s="322"/>
      <c r="AA458" s="322"/>
      <c r="AB458" s="322"/>
      <c r="AC458" s="322"/>
      <c r="AD458" s="322"/>
    </row>
    <row r="459" spans="8:8" customHeight="1">
      <c r="V459" s="322"/>
      <c r="W459" s="322"/>
      <c r="X459" s="322"/>
      <c r="Y459" s="322"/>
      <c r="Z459" s="322"/>
      <c r="AA459" s="322"/>
      <c r="AB459" s="322"/>
      <c r="AC459" s="322"/>
      <c r="AD459" s="322"/>
    </row>
    <row r="460" spans="8:8" customHeight="1">
      <c r="V460" s="322"/>
      <c r="W460" s="322"/>
      <c r="X460" s="322"/>
      <c r="Y460" s="322"/>
      <c r="Z460" s="322"/>
      <c r="AA460" s="322"/>
      <c r="AB460" s="322"/>
      <c r="AC460" s="322"/>
      <c r="AD460" s="322"/>
    </row>
    <row r="461" spans="8:8" customHeight="1">
      <c r="V461" s="322"/>
      <c r="W461" s="322"/>
      <c r="X461" s="322"/>
      <c r="Y461" s="322"/>
      <c r="Z461" s="322"/>
      <c r="AA461" s="322"/>
      <c r="AB461" s="322"/>
      <c r="AC461" s="322"/>
      <c r="AD461" s="322"/>
    </row>
    <row r="462" spans="8:8" customHeight="1">
      <c r="V462" s="322"/>
      <c r="W462" s="322"/>
      <c r="X462" s="322"/>
      <c r="Y462" s="322"/>
      <c r="Z462" s="322"/>
      <c r="AA462" s="322"/>
      <c r="AB462" s="322"/>
      <c r="AC462" s="322"/>
      <c r="AD462" s="322"/>
    </row>
    <row r="463" spans="8:8" customHeight="1">
      <c r="V463" s="322"/>
      <c r="W463" s="322"/>
      <c r="X463" s="322"/>
      <c r="Y463" s="322"/>
      <c r="Z463" s="322"/>
      <c r="AA463" s="322"/>
      <c r="AB463" s="322"/>
      <c r="AC463" s="322"/>
      <c r="AD463" s="322"/>
    </row>
  </sheetData>
  <sheetProtection sheet="0" selectLockedCells="1"/>
  <mergeCells count="53">
    <mergeCell ref="A376:B376"/>
    <mergeCell ref="O198:O202"/>
    <mergeCell ref="A227:Y227"/>
    <mergeCell ref="C129:C130"/>
    <mergeCell ref="O221:O225"/>
    <mergeCell ref="A161:A164"/>
    <mergeCell ref="T127:T128"/>
    <mergeCell ref="D129:F130"/>
    <mergeCell ref="V1:W1"/>
    <mergeCell ref="T1:U1"/>
    <mergeCell ref="J153:J156"/>
    <mergeCell ref="A263:Y263"/>
    <mergeCell ref="T292:U292"/>
    <mergeCell ref="A151:AE151"/>
    <mergeCell ref="A36:Y36"/>
    <mergeCell ref="O203:O207"/>
    <mergeCell ref="A18:Y18"/>
    <mergeCell ref="A209:Y209"/>
    <mergeCell ref="A54:Y54"/>
    <mergeCell ref="J161:J164"/>
    <mergeCell ref="A139:A142"/>
    <mergeCell ref="A153:A156"/>
    <mergeCell ref="V131:W131"/>
    <mergeCell ref="A127:B128"/>
    <mergeCell ref="A108:Y108"/>
    <mergeCell ref="A131:A134"/>
    <mergeCell ref="A281:Y281"/>
    <mergeCell ref="U127:V127"/>
    <mergeCell ref="A129:B130"/>
    <mergeCell ref="A245:Y245"/>
    <mergeCell ref="D127:G128"/>
    <mergeCell ref="O229:O233"/>
    <mergeCell ref="A135:A138"/>
    <mergeCell ref="A191:Y191"/>
    <mergeCell ref="A143:A146"/>
    <mergeCell ref="A90:Y90"/>
    <mergeCell ref="A301:Y301"/>
    <mergeCell ref="J165:J168"/>
    <mergeCell ref="O216:O220"/>
    <mergeCell ref="A165:A168"/>
    <mergeCell ref="A169:A172"/>
    <mergeCell ref="J169:J172"/>
    <mergeCell ref="A157:A160"/>
    <mergeCell ref="A72:Y72"/>
    <mergeCell ref="A147:A150"/>
    <mergeCell ref="AN21:AO21"/>
    <mergeCell ref="AP21:AQ21"/>
    <mergeCell ref="AJ21:AK21"/>
    <mergeCell ref="AL21:AM21"/>
    <mergeCell ref="X1:Y1"/>
    <mergeCell ref="AL30:AL31"/>
    <mergeCell ref="A300:Y300"/>
    <mergeCell ref="J157:J160"/>
  </mergeCells>
  <pageMargins left="0.7875" right="0.7875" top="0.9840277777777777" bottom="0.9840277777777777" header="0.5118055555555555" footer="0.5118055555555555"/>
  <headerFooter alignWithMargins="0"/>
</worksheet>
</file>

<file path=xl/worksheets/sheet7.xml><?xml version="1.0" encoding="utf-8"?>
<worksheet xmlns:r="http://schemas.openxmlformats.org/officeDocument/2006/relationships" xmlns="http://schemas.openxmlformats.org/spreadsheetml/2006/main">
  <dimension ref="A1:BL985"/>
  <sheetViews>
    <sheetView workbookViewId="0" showGridLines="0" showRowColHeaders="0" zoomScale="85">
      <selection activeCell="H7" sqref="H7"/>
    </sheetView>
  </sheetViews>
  <sheetFormatPr defaultRowHeight="12.75" defaultColWidth="10"/>
  <cols>
    <col min="1" max="1" customWidth="1" width="11.425781" style="852"/>
    <col min="2" max="4" customWidth="1" width="8.140625" style="852"/>
    <col min="5" max="5" customWidth="1" width="10.7109375" style="853"/>
    <col min="6" max="6" customWidth="1" width="17.710938" style="852"/>
    <col min="7" max="8" customWidth="1" width="10.7109375" style="852"/>
    <col min="9" max="9" customWidth="1" width="17.710938" style="852"/>
    <col min="10" max="12" customWidth="1" width="10.7109375" style="852"/>
    <col min="13" max="13" customWidth="1" width="17.710938" style="852"/>
    <col min="14" max="15" customWidth="1" width="10.7109375" style="852"/>
    <col min="16" max="17" customWidth="1" width="13.140625" style="852"/>
    <col min="18" max="18" customWidth="1" width="12.425781" style="852"/>
    <col min="19" max="19" customWidth="0" width="9.140625" style="852"/>
    <col min="20" max="21" customWidth="1" width="12.0" style="852"/>
    <col min="22" max="22" customWidth="1" width="11.7109375" style="852"/>
    <col min="23" max="24" customWidth="1" width="10.7109375" style="852"/>
    <col min="25" max="16384" customWidth="0" width="9.140625" style="852"/>
  </cols>
  <sheetData>
    <row r="1" spans="8:8" ht="13.5" customHeight="1">
      <c r="A1" s="854" t="s">
        <v>195</v>
      </c>
      <c r="B1" s="855"/>
      <c r="C1" s="856"/>
      <c r="D1" s="857">
        <v>286.0</v>
      </c>
      <c r="E1" s="858"/>
      <c r="F1" s="859"/>
      <c r="I1" s="860"/>
      <c r="N1" s="861" t="s">
        <v>198</v>
      </c>
      <c r="O1" s="862">
        <f>SIN(RADIANS(T4+1E-20))</f>
        <v>0.8650638772571638</v>
      </c>
      <c r="P1" s="863" t="s">
        <v>196</v>
      </c>
      <c r="Q1" s="863"/>
      <c r="R1" s="859"/>
      <c r="S1" s="864" t="s">
        <v>197</v>
      </c>
      <c r="T1" s="865">
        <f>IF(Calculadora!$B$1&gt;$V$4,Calculadora!B1)</f>
        <v>261.88</v>
      </c>
      <c r="V1" s="866" t="s">
        <v>133</v>
      </c>
      <c r="W1" s="867">
        <v>0.15</v>
      </c>
      <c r="X1" s="868">
        <f>$D$1*W1</f>
        <v>42.9</v>
      </c>
      <c r="AC1" s="869"/>
      <c r="AD1" s="869"/>
      <c r="AE1" s="869"/>
      <c r="AF1" s="869"/>
      <c r="AG1" s="869"/>
      <c r="AH1" s="869"/>
      <c r="AI1" s="869"/>
      <c r="AJ1" s="869"/>
      <c r="AK1" s="869"/>
      <c r="AL1" s="869"/>
      <c r="AM1" s="869"/>
      <c r="AP1" s="869"/>
      <c r="AQ1" s="870"/>
      <c r="AR1" s="870"/>
      <c r="AU1" s="869"/>
      <c r="AV1" s="869"/>
      <c r="AW1" s="869"/>
      <c r="AX1" s="869"/>
    </row>
    <row r="2" spans="8:8" ht="13.5" customHeight="1">
      <c r="A2" s="871"/>
      <c r="B2" s="872"/>
      <c r="C2" s="873"/>
      <c r="D2" s="874"/>
      <c r="E2" s="875"/>
      <c r="F2" s="859"/>
      <c r="I2" s="859"/>
      <c r="L2" s="859"/>
      <c r="M2" s="859"/>
      <c r="N2" s="876" t="s">
        <v>5</v>
      </c>
      <c r="O2" s="877">
        <f>COS(RADIANS(T4+1E-20))</f>
        <v>0.5016617269284179</v>
      </c>
      <c r="P2" s="878">
        <v>0.7</v>
      </c>
      <c r="Q2" s="879">
        <f>IF($T$1&gt;132.4,R2,R2*0.87)</f>
        <v>24.75</v>
      </c>
      <c r="R2" s="859">
        <v>24.75</v>
      </c>
      <c r="S2" s="864" t="s">
        <v>199</v>
      </c>
      <c r="T2" s="865">
        <f>IF(Calculadora!$B$1&gt;$V$4,Calculadora!B2)</f>
        <v>0.95</v>
      </c>
      <c r="V2" s="880"/>
      <c r="W2" s="881">
        <f t="shared" si="0" ref="W2:W65">W1+1/360</f>
        <v>0.15277777777777776</v>
      </c>
      <c r="X2" s="882">
        <f>$D$1*W2</f>
        <v>43.69444444444444</v>
      </c>
      <c r="AC2" s="859"/>
      <c r="AD2" s="859"/>
      <c r="AE2" s="869"/>
      <c r="AF2" s="869"/>
      <c r="AG2" s="869"/>
      <c r="AH2" s="869"/>
      <c r="AI2" s="869"/>
      <c r="AJ2" s="869"/>
      <c r="AK2" s="869"/>
      <c r="AL2" s="869"/>
      <c r="AM2" s="869"/>
      <c r="AP2" s="869"/>
      <c r="AQ2" s="870"/>
      <c r="AR2" s="883"/>
      <c r="AS2" s="869"/>
      <c r="AT2" s="869"/>
      <c r="AU2" s="869"/>
      <c r="AV2" s="869"/>
      <c r="AW2" s="869"/>
      <c r="AX2" s="869"/>
    </row>
    <row r="3" spans="8:8" customHeight="1">
      <c r="A3" s="859"/>
      <c r="B3" s="859"/>
      <c r="C3" s="859"/>
      <c r="D3" s="859"/>
      <c r="E3" s="859"/>
      <c r="K3" s="584" t="s">
        <v>111</v>
      </c>
      <c r="N3" s="859"/>
      <c r="O3" s="859"/>
      <c r="P3" s="878">
        <v>0.75</v>
      </c>
      <c r="Q3" s="879">
        <f t="shared" si="1" ref="Q3:Q11">IF($T$1&gt;132.4,R3,R3*0.87)</f>
        <v>20.75</v>
      </c>
      <c r="R3" s="859">
        <v>20.75</v>
      </c>
      <c r="S3" s="864" t="s">
        <v>200</v>
      </c>
      <c r="T3" s="865">
        <f>IF(Calculadora!$B$1&gt;$V$4,Calculadora!B3)</f>
        <v>5.0</v>
      </c>
      <c r="V3" s="884" t="s">
        <v>247</v>
      </c>
      <c r="W3" s="881">
        <f t="shared" si="0"/>
        <v>0.15555555555555578</v>
      </c>
      <c r="X3" s="882">
        <f t="shared" si="2" ref="X3:X9">$D$1*W3</f>
        <v>44.48888888888895</v>
      </c>
      <c r="AC3" s="859"/>
      <c r="AD3" s="859"/>
      <c r="AE3" s="869"/>
      <c r="AF3" s="869"/>
      <c r="AG3" s="869"/>
      <c r="AH3" s="869"/>
      <c r="AI3" s="869"/>
      <c r="AJ3" s="869"/>
      <c r="AK3" s="869"/>
      <c r="AL3" s="869"/>
      <c r="AM3" s="869"/>
      <c r="AP3" s="869"/>
      <c r="AQ3" s="869"/>
      <c r="AR3" s="869"/>
      <c r="AS3" s="869"/>
      <c r="AT3" s="869"/>
      <c r="AU3" s="869"/>
      <c r="AV3" s="869"/>
      <c r="AW3" s="869"/>
      <c r="AX3" s="869"/>
    </row>
    <row r="4" spans="8:8" customHeight="1">
      <c r="A4" s="665" t="s">
        <v>3</v>
      </c>
      <c r="B4" s="665" t="s">
        <v>86</v>
      </c>
      <c r="C4" s="665" t="s">
        <v>77</v>
      </c>
      <c r="D4" s="859"/>
      <c r="E4" s="859"/>
      <c r="F4" s="338" t="s">
        <v>77</v>
      </c>
      <c r="G4" s="322"/>
      <c r="H4" s="322"/>
      <c r="I4" s="338" t="s">
        <v>93</v>
      </c>
      <c r="J4" s="621"/>
      <c r="K4" s="885">
        <f>C12*(M10-B14)*(M10-B15)/((B12-B14)*(B12-B15))+C14*(M10-B12)*(M10-B15)/((B14-B12)*(B14-B15))+C15*(M10-B12)*(M10-B14)/((B15-B12)*(B15-B14))</f>
        <v>1.1207549179685299</v>
      </c>
      <c r="L4" s="414" t="s">
        <v>77</v>
      </c>
      <c r="M4" s="886">
        <f>IF(M10&lt;B14,K4,IF(M10&lt;B12,K6,IF(M10&lt;B8,K8,K10)))</f>
        <v>1.12326536005354</v>
      </c>
      <c r="N4" s="859"/>
      <c r="O4" s="859"/>
      <c r="P4" s="878">
        <v>0.8</v>
      </c>
      <c r="Q4" s="879">
        <f t="shared" si="1"/>
        <v>16.0</v>
      </c>
      <c r="R4" s="859">
        <v>16.0</v>
      </c>
      <c r="S4" s="864" t="s">
        <v>201</v>
      </c>
      <c r="T4" s="865">
        <f>IF(Calculadora!$B$1&gt;$V$4,Calculadora!B4)</f>
        <v>59.89</v>
      </c>
      <c r="V4" s="887">
        <v>0.0</v>
      </c>
      <c r="W4" s="881">
        <f t="shared" si="0"/>
        <v>0.15833333333333377</v>
      </c>
      <c r="X4" s="882">
        <f t="shared" si="2"/>
        <v>45.28333333333346</v>
      </c>
      <c r="AC4" s="859"/>
      <c r="AD4" s="859"/>
      <c r="AE4" s="869"/>
      <c r="AF4" s="869"/>
      <c r="AG4" s="869"/>
      <c r="AH4" s="869"/>
      <c r="AI4" s="869"/>
      <c r="AJ4" s="869"/>
      <c r="AK4" s="869"/>
      <c r="AL4" s="869"/>
      <c r="AM4" s="869"/>
      <c r="AN4" s="869"/>
      <c r="AO4" s="869"/>
      <c r="AP4" s="869"/>
      <c r="AQ4" s="869"/>
      <c r="AR4" s="869"/>
      <c r="AS4" s="869"/>
      <c r="AT4" s="869"/>
      <c r="AU4" s="869"/>
      <c r="AV4" s="869"/>
      <c r="AW4" s="869"/>
      <c r="AX4" s="869"/>
    </row>
    <row r="5" spans="8:8" customHeight="1">
      <c r="A5" s="344"/>
      <c r="B5" s="886">
        <v>277.0</v>
      </c>
      <c r="C5" s="886">
        <v>1.2435</v>
      </c>
      <c r="D5" s="859"/>
      <c r="E5" s="859"/>
      <c r="F5" s="352" t="s">
        <v>87</v>
      </c>
      <c r="G5" s="353">
        <f>M4*T3*$O$1</f>
        <v>4.858481437782897</v>
      </c>
      <c r="H5" s="322"/>
      <c r="I5" s="352"/>
      <c r="J5" s="354"/>
      <c r="K5" s="888" t="s">
        <v>112</v>
      </c>
      <c r="L5" s="605" t="s">
        <v>7</v>
      </c>
      <c r="M5" s="889">
        <f>L19*POWER((1+(K19)),B8-M10)</f>
        <v>0.6475736525477882</v>
      </c>
      <c r="N5" s="859"/>
      <c r="O5" s="859"/>
      <c r="P5" s="878">
        <v>0.82</v>
      </c>
      <c r="Q5" s="879">
        <f t="shared" si="1"/>
        <v>14.25</v>
      </c>
      <c r="R5" s="859">
        <v>14.25</v>
      </c>
      <c r="S5" s="864" t="s">
        <v>202</v>
      </c>
      <c r="T5" s="865">
        <f>IF(Calculadora!$B$1&gt;$V$4,Calculadora!B5)</f>
        <v>0.0</v>
      </c>
      <c r="V5" s="859"/>
      <c r="W5" s="881">
        <f t="shared" si="0"/>
        <v>0.16111111111111176</v>
      </c>
      <c r="X5" s="882">
        <f t="shared" si="2"/>
        <v>46.07777777777796</v>
      </c>
      <c r="AC5" s="859"/>
      <c r="AD5" s="859"/>
      <c r="AE5" s="869"/>
      <c r="AF5" s="869"/>
      <c r="AG5" s="869"/>
      <c r="AH5" s="869"/>
      <c r="AI5" s="869"/>
      <c r="AJ5" s="869"/>
      <c r="AK5" s="869"/>
      <c r="AL5" s="869"/>
      <c r="AM5" s="869"/>
      <c r="AN5" s="869"/>
      <c r="AO5" s="869"/>
      <c r="AP5" s="869"/>
      <c r="AQ5" s="869"/>
      <c r="AR5" s="869"/>
      <c r="AS5" s="869"/>
      <c r="AT5" s="869"/>
      <c r="AU5" s="869"/>
      <c r="AV5" s="869"/>
      <c r="AW5" s="869"/>
      <c r="AX5" s="869"/>
    </row>
    <row r="6" spans="8:8" customHeight="1">
      <c r="A6" s="360"/>
      <c r="B6" s="886">
        <v>270.0</v>
      </c>
      <c r="C6" s="890">
        <v>1.1805</v>
      </c>
      <c r="D6" s="859"/>
      <c r="E6" s="859"/>
      <c r="F6" s="366" t="s">
        <v>88</v>
      </c>
      <c r="G6" s="367">
        <f>IF(G12&gt;0,G5*M7,G5*M8)</f>
        <v>4.85049785118562</v>
      </c>
      <c r="H6" s="322"/>
      <c r="I6" s="366" t="s">
        <v>94</v>
      </c>
      <c r="J6" s="368">
        <f>M4*T3*$O$2</f>
        <v>2.8174962016166503</v>
      </c>
      <c r="K6" s="891">
        <f>C8*(M10-B10)*(M10-B12)*(M10-B13)*(M10-B14)/((B8-B10)*(B8-B12)*(B8-B13)*(B8-B14))+C10*(M10-B8)*(M10-B12)*(M10-B13)*(M10-B14)/((B10-B8)*(B10-B12)*(B10-B13)*(B10-B14))+C12*(M10-B8)*(M10-B10)*(M10-B13)*(M10-B14)/((B12-B8)*(B12-B10)*(B12-B13)*(B12-B14))+C13*(M10-B8)*(M10-B10)*(M10-B12)*(M10-B14)/((B13-B8)*(B13-B10)*(B13-B12)*(B13-B14))+C14*(M10-B8)*(M10-B10)*(M10-B12)*(M10-B13)/((B14-B8)*(B14-B10)*(B14-B12)*(B14-B13))</f>
        <v>1.1205528793372832</v>
      </c>
      <c r="L6" s="892" t="s">
        <v>8</v>
      </c>
      <c r="M6" s="893">
        <f>L20*POWER((1+(K20)),B8-M10)</f>
        <v>0.7046541847196981</v>
      </c>
      <c r="N6" s="859"/>
      <c r="O6" s="859"/>
      <c r="P6" s="878">
        <v>0.85</v>
      </c>
      <c r="Q6" s="879">
        <f t="shared" si="1"/>
        <v>11.65</v>
      </c>
      <c r="R6" s="859">
        <v>11.65</v>
      </c>
      <c r="S6" s="864" t="s">
        <v>203</v>
      </c>
      <c r="T6" s="865">
        <f>IF(Calculadora!$B$1&gt;$V$4,Calculadora!B6)</f>
        <v>0.0</v>
      </c>
      <c r="V6" s="859"/>
      <c r="W6" s="881">
        <f t="shared" si="0"/>
        <v>0.16388888888888978</v>
      </c>
      <c r="X6" s="882">
        <f t="shared" si="2"/>
        <v>46.872222222222476</v>
      </c>
      <c r="AC6" s="859"/>
      <c r="AD6" s="859"/>
      <c r="AE6" s="869"/>
      <c r="AF6" s="869"/>
      <c r="AG6" s="869"/>
      <c r="AH6" s="869"/>
      <c r="AI6" s="869"/>
      <c r="AJ6" s="869"/>
      <c r="AK6" s="869"/>
      <c r="AL6" s="869"/>
      <c r="AM6" s="869"/>
      <c r="AN6" s="869"/>
      <c r="AO6" s="869"/>
      <c r="AP6" s="869"/>
      <c r="AQ6" s="869"/>
      <c r="AR6" s="869"/>
      <c r="AS6" s="869"/>
      <c r="AT6" s="869"/>
      <c r="AU6" s="869"/>
      <c r="AV6" s="869"/>
      <c r="AW6" s="869"/>
      <c r="AX6" s="869"/>
    </row>
    <row r="7" spans="8:8" customHeight="1">
      <c r="A7" s="426"/>
      <c r="B7" s="886">
        <v>263.0</v>
      </c>
      <c r="C7" s="890">
        <v>1.1328</v>
      </c>
      <c r="D7" s="859"/>
      <c r="E7" s="859"/>
      <c r="F7" s="366" t="s">
        <v>89</v>
      </c>
      <c r="G7" s="367">
        <f>G6*J10</f>
        <v>4.757467134228693</v>
      </c>
      <c r="H7" s="593">
        <f>(G7/(Calculadora!$B$3*$O$1))*Calculadora!$B$5/4</f>
        <v>0.0</v>
      </c>
      <c r="I7" s="366"/>
      <c r="J7" s="368"/>
      <c r="K7" s="414" t="s">
        <v>113</v>
      </c>
      <c r="L7" s="584" t="s">
        <v>9</v>
      </c>
      <c r="M7" s="355">
        <f>IF((M10&gt;0),((100+(G12/-J19))/100))</f>
        <v>0.9983567732635156</v>
      </c>
      <c r="N7" s="859"/>
      <c r="O7" s="859"/>
      <c r="P7" s="878">
        <v>0.9</v>
      </c>
      <c r="Q7" s="879">
        <f t="shared" si="1"/>
        <v>7.5</v>
      </c>
      <c r="R7" s="859">
        <v>7.5</v>
      </c>
      <c r="S7" s="864" t="s">
        <v>204</v>
      </c>
      <c r="T7" s="894">
        <f>Calculadora!B7</f>
        <v>1.0</v>
      </c>
      <c r="V7" s="859"/>
      <c r="W7" s="881">
        <f t="shared" si="0"/>
        <v>0.16666666666666777</v>
      </c>
      <c r="X7" s="882">
        <f t="shared" si="2"/>
        <v>47.666666666666984</v>
      </c>
      <c r="AC7" s="859"/>
      <c r="AD7" s="859"/>
      <c r="AE7" s="869"/>
      <c r="AF7" s="869"/>
      <c r="AG7" s="869"/>
      <c r="AH7" s="869"/>
      <c r="AI7" s="869"/>
      <c r="AJ7" s="869"/>
      <c r="AK7" s="869"/>
      <c r="AL7" s="869"/>
      <c r="AM7" s="869"/>
      <c r="AN7" s="869"/>
      <c r="AO7" s="869"/>
      <c r="AP7" s="869"/>
      <c r="AQ7" s="869"/>
      <c r="AR7" s="869"/>
      <c r="AS7" s="869"/>
      <c r="AT7" s="869"/>
      <c r="AU7" s="869"/>
      <c r="AV7" s="869"/>
      <c r="AW7" s="869"/>
      <c r="AX7" s="869"/>
    </row>
    <row r="8" spans="8:8" customHeight="1">
      <c r="A8" s="886">
        <v>100.0</v>
      </c>
      <c r="B8" s="886">
        <v>256.05</v>
      </c>
      <c r="C8" s="890">
        <v>1.0515</v>
      </c>
      <c r="D8" s="895"/>
      <c r="E8" s="859"/>
      <c r="F8" s="388" t="s">
        <v>90</v>
      </c>
      <c r="G8" s="389">
        <f>G6/J11</f>
        <v>4.9612229508835695</v>
      </c>
      <c r="H8" s="593">
        <f>(G8/(Calculadora!$B$3*$O$1))*Calculadora!$B$5/4</f>
        <v>0.0</v>
      </c>
      <c r="I8" s="366" t="s">
        <v>97</v>
      </c>
      <c r="J8" s="368">
        <f>M4*T3*$O$2*1*(1-(G12*0.016))</f>
        <v>2.78976324976058</v>
      </c>
      <c r="K8" s="896">
        <f>C8*(M10-B9)*(M10-B10)*(M10-B11)*(M10-B12)/((B8-B9)*(B8-B10)*(B8-B11)*(B8-B12))+C9*(M10-B8)*(M10-B10)*(M10-B11)*(M10-B12)/((B9-B8)*(B9-B10)*(B9-B11)*(B9-B12))+C10*(M10-B8)*(M10-B9)*(M10-B11)*(M10-B12)/((B10-B8)*(B10-B9)*(B10-B11)*(B10-B12))+C11*(M10-B8)*(M10-B9)*(M10-B10)*(M10-B12)/((B11-B8)*(B11-B9)*(B11-B10)*(B11-B12))+C12*(M10-B8)*(M10-B9)*(M10-B10)*(M10-B11)/((B12-B8)*(B12-B9)*(B12-B10)*(B12-B11))</f>
        <v>1.021230915388273</v>
      </c>
      <c r="L8" s="584" t="s">
        <v>10</v>
      </c>
      <c r="M8" s="355">
        <f>IF((M10&gt;0),((100+(G12/-J20))/100))</f>
        <v>0.9977884233388704</v>
      </c>
      <c r="N8" s="859"/>
      <c r="O8" s="859"/>
      <c r="P8" s="878">
        <v>0.92</v>
      </c>
      <c r="Q8" s="879">
        <f t="shared" si="1"/>
        <v>5.9</v>
      </c>
      <c r="R8" s="859">
        <v>5.9</v>
      </c>
      <c r="V8" s="859"/>
      <c r="W8" s="881">
        <f t="shared" si="0"/>
        <v>0.16944444444444576</v>
      </c>
      <c r="X8" s="882">
        <f t="shared" si="2"/>
        <v>48.461111111111485</v>
      </c>
      <c r="AC8" s="859"/>
      <c r="AD8" s="859"/>
      <c r="AE8" s="869"/>
      <c r="AF8" s="869"/>
      <c r="AG8" s="869"/>
      <c r="AH8" s="869"/>
      <c r="AI8" s="869"/>
      <c r="AJ8" s="869"/>
      <c r="AK8" s="869"/>
      <c r="AL8" s="869"/>
      <c r="AM8" s="869"/>
      <c r="AN8" s="869"/>
      <c r="AO8" s="869"/>
      <c r="AP8" s="869"/>
      <c r="AQ8" s="869"/>
      <c r="AR8" s="869"/>
      <c r="AS8" s="869"/>
      <c r="AT8" s="869"/>
      <c r="AU8" s="869"/>
      <c r="AV8" s="869"/>
      <c r="AW8" s="869"/>
      <c r="AX8" s="869"/>
    </row>
    <row r="9" spans="8:8" customHeight="1">
      <c r="A9" s="822">
        <v>97.5</v>
      </c>
      <c r="B9" s="822">
        <v>247.6</v>
      </c>
      <c r="C9" s="897">
        <v>0.9798</v>
      </c>
      <c r="D9" s="859"/>
      <c r="E9" s="859"/>
      <c r="F9" s="322"/>
      <c r="G9" s="322"/>
      <c r="H9" s="322"/>
      <c r="I9" s="366" t="s">
        <v>98</v>
      </c>
      <c r="J9" s="368">
        <f>M4*T3*$O$2*1.25*(1-(G12*0.016))</f>
        <v>3.487204062200725</v>
      </c>
      <c r="K9" s="888" t="s">
        <v>116</v>
      </c>
      <c r="L9" s="584" t="s">
        <v>105</v>
      </c>
      <c r="M9" s="584">
        <f>M4/4*T5</f>
        <v>0.0</v>
      </c>
      <c r="N9" s="859"/>
      <c r="O9" s="859"/>
      <c r="P9" s="878">
        <v>0.95</v>
      </c>
      <c r="Q9" s="879">
        <f t="shared" si="1"/>
        <v>3.8</v>
      </c>
      <c r="R9" s="859">
        <v>3.8</v>
      </c>
      <c r="V9" s="859"/>
      <c r="W9" s="881">
        <f t="shared" si="0"/>
        <v>0.17222222222222378</v>
      </c>
      <c r="X9" s="882">
        <f t="shared" si="2"/>
        <v>49.255555555556</v>
      </c>
      <c r="AC9" s="859"/>
      <c r="AD9" s="859"/>
      <c r="AE9" s="869"/>
      <c r="AF9" s="869"/>
      <c r="AG9" s="869"/>
      <c r="AH9" s="869"/>
      <c r="AI9" s="869"/>
      <c r="AJ9" s="869"/>
      <c r="AK9" s="869"/>
      <c r="AL9" s="869"/>
      <c r="AM9" s="869"/>
      <c r="AN9" s="869"/>
      <c r="AO9" s="869"/>
      <c r="AP9" s="869"/>
      <c r="AQ9" s="869"/>
      <c r="AR9" s="869"/>
      <c r="AS9" s="869"/>
      <c r="AT9" s="869"/>
      <c r="AU9" s="869"/>
      <c r="AV9" s="869"/>
      <c r="AW9" s="869"/>
      <c r="AX9" s="869"/>
    </row>
    <row r="10" spans="8:8" customHeight="1">
      <c r="A10" s="898">
        <v>95.0</v>
      </c>
      <c r="B10" s="822">
        <v>239.2</v>
      </c>
      <c r="C10" s="897">
        <v>0.8795</v>
      </c>
      <c r="D10" s="895"/>
      <c r="E10" s="859"/>
      <c r="F10" s="338" t="s">
        <v>91</v>
      </c>
      <c r="G10" s="322"/>
      <c r="H10" s="322"/>
      <c r="I10" s="366" t="s">
        <v>99</v>
      </c>
      <c r="J10" s="368">
        <f>(100+(J8*2.75/-4))/100</f>
        <v>0.9808203776578961</v>
      </c>
      <c r="K10" s="899">
        <f>C5*(M10-B6)*(M10-B7)*(M10-B8)/((B5-B6)*(B5-B7)*(B5-B8))+C6*(M10-B5)*(M10-B7)*(M10-B8)/((B6-B5)*(B6-B7)*(B6-B8))+C7*(M10-B5)*(M10-B6)*(M10-B8)/((B7-B5)*(B7-B6)*(B7-B8))+C8*(M10-B5)*(M10-B6)*(M10-B7)/((B8-B5)*(B8-B6)*(B8-B7))</f>
        <v>1.12326536005354</v>
      </c>
      <c r="L10" s="584" t="s">
        <v>106</v>
      </c>
      <c r="M10" s="584">
        <f>Q13</f>
        <v>261.88</v>
      </c>
      <c r="N10" s="859"/>
      <c r="O10" s="859"/>
      <c r="P10" s="878">
        <v>0.97</v>
      </c>
      <c r="Q10" s="879">
        <f t="shared" si="1"/>
        <v>2.1</v>
      </c>
      <c r="R10" s="859">
        <v>2.1</v>
      </c>
      <c r="V10" s="859"/>
      <c r="W10" s="867">
        <f t="shared" si="0"/>
        <v>0.17500000000000177</v>
      </c>
      <c r="X10" s="868">
        <f>$D$1*W10</f>
        <v>50.0500000000005</v>
      </c>
      <c r="AC10" s="859"/>
      <c r="AD10" s="859"/>
      <c r="AE10" s="869"/>
      <c r="AF10" s="869"/>
      <c r="AG10" s="869"/>
      <c r="AH10" s="869"/>
      <c r="AI10" s="869"/>
      <c r="AJ10" s="869"/>
      <c r="AK10" s="869"/>
      <c r="AL10" s="869"/>
      <c r="AM10" s="869"/>
      <c r="AN10" s="869"/>
      <c r="AO10" s="869"/>
      <c r="AP10" s="869"/>
      <c r="AQ10" s="869"/>
      <c r="AR10" s="869"/>
      <c r="AS10" s="869"/>
      <c r="AT10" s="869"/>
      <c r="AU10" s="869"/>
      <c r="AV10" s="869"/>
      <c r="AW10" s="869"/>
      <c r="AX10" s="869"/>
    </row>
    <row r="11" spans="8:8" customHeight="1">
      <c r="A11" s="822">
        <v>92.5</v>
      </c>
      <c r="B11" s="822">
        <v>230.35</v>
      </c>
      <c r="C11" s="897">
        <v>0.8005</v>
      </c>
      <c r="D11" s="859"/>
      <c r="E11" s="859"/>
      <c r="F11" s="352"/>
      <c r="G11" s="354"/>
      <c r="H11" s="322"/>
      <c r="I11" s="388" t="s">
        <v>100</v>
      </c>
      <c r="J11" s="402">
        <f>(100+(J9*4/-6.25))/100</f>
        <v>0.9776818940019153</v>
      </c>
      <c r="L11" s="322"/>
      <c r="M11" s="322"/>
      <c r="O11" s="859"/>
      <c r="P11" s="878">
        <v>0.98</v>
      </c>
      <c r="Q11" s="879">
        <f t="shared" si="1"/>
        <v>1.5</v>
      </c>
      <c r="R11" s="859">
        <v>1.5</v>
      </c>
      <c r="W11" s="881">
        <f t="shared" si="0"/>
        <v>0.17777777777777976</v>
      </c>
      <c r="X11" s="882">
        <f>$D$1*W11</f>
        <v>50.84444444444501</v>
      </c>
      <c r="AC11" s="859"/>
      <c r="AD11" s="859"/>
      <c r="AE11" s="869"/>
      <c r="AF11" s="869"/>
      <c r="AG11" s="869"/>
      <c r="AH11" s="869"/>
      <c r="AI11" s="869"/>
      <c r="AJ11" s="869"/>
      <c r="AK11" s="869"/>
      <c r="AL11" s="869"/>
      <c r="AM11" s="869"/>
      <c r="AN11" s="869"/>
      <c r="AO11" s="869"/>
      <c r="AP11" s="869"/>
      <c r="AQ11" s="869"/>
      <c r="AR11" s="869"/>
      <c r="AS11" s="869"/>
      <c r="AT11" s="869"/>
      <c r="AU11" s="869"/>
      <c r="AV11" s="869"/>
      <c r="AW11" s="869"/>
      <c r="AX11" s="869"/>
    </row>
    <row r="12" spans="8:8" ht="13.5" customHeight="1">
      <c r="A12" s="886">
        <v>90.0</v>
      </c>
      <c r="B12" s="886">
        <v>222.2</v>
      </c>
      <c r="C12" s="890">
        <v>0.7344</v>
      </c>
      <c r="D12" s="895"/>
      <c r="E12" s="859"/>
      <c r="F12" s="366" t="s">
        <v>92</v>
      </c>
      <c r="G12" s="368">
        <f>IF($T$2&gt;0,$T$2*M5,$T$2*M6)</f>
        <v>0.6151949699203988</v>
      </c>
      <c r="H12" s="322"/>
      <c r="I12" s="621"/>
      <c r="J12" s="621"/>
      <c r="K12" s="322"/>
      <c r="L12" s="322"/>
      <c r="P12" s="878">
        <v>1.0</v>
      </c>
      <c r="Q12" s="448">
        <v>0.0</v>
      </c>
      <c r="R12" s="859">
        <v>0.0</v>
      </c>
      <c r="W12" s="881">
        <f t="shared" si="0"/>
        <v>0.18055555555555777</v>
      </c>
      <c r="X12" s="882">
        <f t="shared" si="3" ref="X12:X18">$D$1*W12</f>
        <v>51.638888888889525</v>
      </c>
      <c r="AC12" s="859"/>
      <c r="AD12" s="859"/>
      <c r="AE12" s="869"/>
      <c r="AF12" s="869"/>
      <c r="AG12" s="869"/>
      <c r="AH12" s="869"/>
      <c r="AI12" s="869"/>
      <c r="AJ12" s="869"/>
      <c r="AK12" s="869"/>
      <c r="AL12" s="869"/>
      <c r="AM12" s="869"/>
      <c r="AN12" s="869"/>
      <c r="AO12" s="869"/>
      <c r="AP12" s="869"/>
      <c r="AQ12" s="869"/>
      <c r="AR12" s="869"/>
      <c r="AS12" s="869"/>
      <c r="AT12" s="869"/>
      <c r="AU12" s="869"/>
      <c r="AV12" s="869"/>
      <c r="AW12" s="869"/>
      <c r="AX12" s="869"/>
    </row>
    <row r="13" spans="8:8" ht="13.5" customHeight="1">
      <c r="A13" s="675">
        <v>85.0</v>
      </c>
      <c r="B13" s="675">
        <v>205.55</v>
      </c>
      <c r="C13" s="675">
        <v>0.6085</v>
      </c>
      <c r="D13" s="859"/>
      <c r="E13" s="859"/>
      <c r="F13" s="388"/>
      <c r="G13" s="774"/>
      <c r="H13" s="323"/>
      <c r="I13" s="352" t="s">
        <v>103</v>
      </c>
      <c r="J13" s="900">
        <f>M10+G12-J8</f>
        <v>259.7054317201594</v>
      </c>
      <c r="K13" s="620">
        <f>M10+G12</f>
        <v>262.4951949699204</v>
      </c>
      <c r="L13" s="322"/>
      <c r="P13" s="901" t="s">
        <v>205</v>
      </c>
      <c r="Q13" s="901">
        <f>LOOKUP(T7,P2:P12:Q2:Q12)+T1-ABS(Calculadora!$B$5*0.05)</f>
        <v>261.88</v>
      </c>
      <c r="R13" s="859"/>
      <c r="W13" s="881">
        <f t="shared" si="0"/>
        <v>0.18333333333333576</v>
      </c>
      <c r="X13" s="882">
        <f t="shared" si="3"/>
        <v>52.433333333334026</v>
      </c>
      <c r="AC13" s="859"/>
      <c r="AD13" s="859"/>
      <c r="AE13" s="869"/>
      <c r="AF13" s="869"/>
      <c r="AG13" s="869"/>
      <c r="AH13" s="869"/>
      <c r="AI13" s="869"/>
      <c r="AJ13" s="869"/>
      <c r="AK13" s="869"/>
      <c r="AL13" s="869"/>
      <c r="AM13" s="869"/>
      <c r="AN13" s="869"/>
      <c r="AO13" s="869"/>
      <c r="AP13" s="869"/>
      <c r="AQ13" s="869"/>
      <c r="AR13" s="869"/>
      <c r="AS13" s="869"/>
      <c r="AT13" s="869"/>
      <c r="AU13" s="869"/>
      <c r="AV13" s="869"/>
      <c r="AW13" s="869"/>
      <c r="AX13" s="869"/>
    </row>
    <row r="14" spans="8:8" ht="13.5" customHeight="1">
      <c r="A14" s="886">
        <f>A12-10</f>
        <v>80.0</v>
      </c>
      <c r="B14" s="886">
        <v>189.45</v>
      </c>
      <c r="C14" s="890">
        <v>0.4966</v>
      </c>
      <c r="D14" s="859"/>
      <c r="E14" s="859"/>
      <c r="H14" s="323"/>
      <c r="I14" s="388" t="s">
        <v>104</v>
      </c>
      <c r="J14" s="902">
        <f>M10+G12+J9</f>
        <v>265.9823990321207</v>
      </c>
      <c r="K14" s="621"/>
      <c r="L14" s="621"/>
      <c r="M14" s="584" t="s">
        <v>17</v>
      </c>
      <c r="N14" s="619"/>
      <c r="O14" s="354"/>
      <c r="P14" s="859"/>
      <c r="Q14" s="859"/>
      <c r="W14" s="881">
        <f t="shared" si="0"/>
        <v>0.18611111111111378</v>
      </c>
      <c r="X14" s="882">
        <f t="shared" si="3"/>
        <v>53.22777777777854</v>
      </c>
      <c r="AC14" s="859"/>
      <c r="AD14" s="859"/>
      <c r="AE14" s="869"/>
      <c r="AF14" s="869"/>
      <c r="AG14" s="869"/>
      <c r="AH14" s="869"/>
      <c r="AI14" s="869"/>
      <c r="AJ14" s="869"/>
      <c r="AK14" s="869"/>
      <c r="AL14" s="869"/>
      <c r="AM14" s="869"/>
      <c r="AN14" s="869"/>
      <c r="AO14" s="869"/>
      <c r="AP14" s="869"/>
      <c r="AQ14" s="869"/>
      <c r="AR14" s="869"/>
      <c r="AS14" s="869"/>
      <c r="AT14" s="869"/>
      <c r="AU14" s="869"/>
      <c r="AV14" s="869"/>
      <c r="AW14" s="869"/>
      <c r="AX14" s="869"/>
    </row>
    <row r="15" spans="8:8" customHeight="1">
      <c r="A15" s="886">
        <f t="shared" si="4" ref="A15:A22">A14-10</f>
        <v>70.0</v>
      </c>
      <c r="B15" s="886">
        <v>159.3</v>
      </c>
      <c r="C15" s="890">
        <v>0.3425</v>
      </c>
      <c r="D15" s="859"/>
      <c r="E15" s="859"/>
      <c r="H15" s="859"/>
      <c r="I15" s="859"/>
      <c r="J15" s="859"/>
      <c r="K15" s="859"/>
      <c r="L15" s="859"/>
      <c r="M15" s="366">
        <f>MOD(F19,20/72)</f>
        <v>0.20886663828335872</v>
      </c>
      <c r="N15" s="621">
        <f>MOD(F20,20/72)</f>
        <v>0.2326893397860016</v>
      </c>
      <c r="O15" s="368"/>
      <c r="P15" s="859"/>
      <c r="Q15" s="859"/>
      <c r="R15" s="859"/>
      <c r="W15" s="881">
        <f t="shared" si="0"/>
        <v>0.18888888888889177</v>
      </c>
      <c r="X15" s="882">
        <f t="shared" si="3"/>
        <v>54.02222222222305</v>
      </c>
      <c r="AC15" s="859"/>
      <c r="AD15" s="859"/>
      <c r="AE15" s="869"/>
      <c r="AF15" s="869"/>
      <c r="AG15" s="869"/>
      <c r="AH15" s="869"/>
      <c r="AI15" s="869"/>
      <c r="AJ15" s="869"/>
      <c r="AK15" s="869"/>
      <c r="AL15" s="869"/>
      <c r="AM15" s="869"/>
      <c r="AN15" s="869"/>
      <c r="AO15" s="869"/>
      <c r="AP15" s="869"/>
      <c r="AQ15" s="869"/>
      <c r="AR15" s="869"/>
      <c r="AS15" s="869"/>
      <c r="AT15" s="869"/>
      <c r="AU15" s="869"/>
      <c r="AV15" s="869"/>
      <c r="AW15" s="869"/>
      <c r="AX15" s="869"/>
    </row>
    <row r="16" spans="8:8" customHeight="1">
      <c r="A16" s="886">
        <f t="shared" si="4"/>
        <v>60.0</v>
      </c>
      <c r="B16" s="886">
        <v>132.6</v>
      </c>
      <c r="C16" s="890">
        <v>0.2446</v>
      </c>
      <c r="D16" s="322"/>
      <c r="E16" s="322"/>
      <c r="F16" s="416">
        <f>100*(J13-B12)*(J13-B14)*(J13-B15)*(J13-B16)*(J13-B17)*(J13-B18)*(J13-B19)/((B8-B12)*(B8-B14)*(B8-B15)*(B8-B16)*(B8-B17)*(B8-B18)*(B8-B19))+90*(J13-B8)*(J13-B14)*(J13-B15)*(J13-B16)*(J13-B17)*(J13-B18)*(J13-B19)/((B12-B8)*(B12-B14)*(B12-B15)*(B12-B16)*(B12-B17)*(B12-B18)*(B12-B19))+80*(J13-B8)*(J13-B12)*(J13-B15)*(J13-B16)*(J13-B17)*(J13-B18)*(J13-B19)/((B14-B8)*(B14-B12)*(B14-B15)*(B14-B16)*(B14-B17)*(B14-B18)*(B14-B19))+70*(J13-B8)*(J13-B12)*(J13-B14)*(J13-B16)*(J13-B17)*(J13-B18)*(J13-B19)/((B15-B8)*(B15-B12)*(B15-B14)*(B15-B16)*(B15-B17)*(B15-B18)*(B15-B19))+60*(J13-B8)*(J13-B12)*(J13-B14)*(J13-B15)*(J13-B17)*(J13-B18)*(J13-B19)/((B16-B8)*(B16-B12)*(B16-B14)*(B16-B15)*(B16-B17)*(B16-B18)*(B16-B19))+50*(J13-B8)*(J13-B12)*(J13-B14)*(J13-B15)*(J13-B16)*(J13-B18)*(J13-B19)/((B17-B8)*(B17-B12)*(B17-B14)*(B17-B15)*(B17-B16)*(B17-B18)*(B17-B19))+40*(J13-B8)*(J13-B12)*(J13-B14)*(J13-B15)*(J13-B16)*(J13-B17)*(J13-B19)/((B18-B8)*(B18-B12)*(B18-B14)*(B18-B15)*(B18-B16)*(B18-B17)*(B18-B19))+30*(J13-B8)*(J13-B12)*(J13-B14)*(J13-B15)*(J13-B16)*(J13-B17)*(J13-B18)/((B19-B8)*(B19-B12)*(B19-B14)*(B19-B15)*(B19-B16)*(B19-B17)*(B19-B18))</f>
        <v>100.97837392663807</v>
      </c>
      <c r="G16" s="416">
        <f>40*(J13-B19)*(J13-B20)*(J13-B21)*(J13-B22)/((B18-B19)*(B18-B20)*(B18-B21)*(B18-B22))+30*(J13-B18)*(J13-B20)*(J13-B21)*(J13-B22)/((B19-B18)*(B19-B20)*(B19-B21)*(B19-B22))+20*(J13-B18)*(J13-B19)*(J13-B21)*(J13-B22)/((B20-B18)*(B20-B19)*(B20-B21)*(B20-B22))+10*(J13-B18)*(J13-B19)*(J13-B20)*(J13-B22)/((B21-B18)*(B21-B19)*(B21-B20)*(B21-B22))+0*(J13-B18)*(J13-B19)*(J13-B20)*(J13-B21)/((B22-B18)*(B22-B19)*(B22-B20)*(B22-B21))</f>
        <v>-97.1055833134215</v>
      </c>
      <c r="H16" s="322"/>
      <c r="I16" s="322" t="s">
        <v>2</v>
      </c>
      <c r="J16" s="903">
        <f>G19/0.218</f>
        <v>21.82324373499399</v>
      </c>
      <c r="L16" s="322"/>
      <c r="M16" s="366">
        <f>M15/(20/72)</f>
        <v>0.7519198978200914</v>
      </c>
      <c r="N16" s="621">
        <f>N15/(20/72)</f>
        <v>0.8376816232296057</v>
      </c>
      <c r="O16" s="368"/>
      <c r="P16" s="322"/>
      <c r="Q16" s="621"/>
      <c r="R16" s="859"/>
      <c r="W16" s="881">
        <f t="shared" si="0"/>
        <v>0.19166666666666976</v>
      </c>
      <c r="X16" s="882">
        <f t="shared" si="3"/>
        <v>54.81666666666755</v>
      </c>
      <c r="AC16" s="859"/>
      <c r="AD16" s="859"/>
      <c r="AE16" s="869"/>
      <c r="AF16" s="869"/>
      <c r="AG16" s="869"/>
      <c r="AH16" s="869"/>
      <c r="AI16" s="869"/>
      <c r="AJ16" s="869"/>
      <c r="AK16" s="869"/>
      <c r="AL16" s="869"/>
      <c r="AM16" s="869"/>
      <c r="AN16" s="869"/>
      <c r="AO16" s="869"/>
      <c r="AP16" s="869"/>
      <c r="AQ16" s="869"/>
      <c r="AR16" s="869"/>
      <c r="AS16" s="869"/>
      <c r="AT16" s="869"/>
      <c r="AU16" s="869"/>
      <c r="AV16" s="869"/>
      <c r="AW16" s="869"/>
      <c r="AX16" s="869"/>
    </row>
    <row r="17" spans="8:8" customHeight="1">
      <c r="A17" s="886">
        <f t="shared" si="4"/>
        <v>50.0</v>
      </c>
      <c r="B17" s="886">
        <v>108.8</v>
      </c>
      <c r="C17" s="890">
        <v>0.178</v>
      </c>
      <c r="D17" s="323"/>
      <c r="E17" s="323"/>
      <c r="F17" s="416">
        <f>100*(J14-B12)*(J14-B14)*(J14-B15)*(J14-B16)*(J14-B17)*(J14-B18)*(J14-B19)/((B8-B12)*(B8-B14)*(B8-B15)*(B8-B16)*(B8-B17)*(B8-B18)*(B8-B19))+90*(J14-B8)*(J14-B14)*(J14-B15)*(J14-B16)*(J14-B17)*(J14-B18)*(J14-B19)/((B12-B8)*(B12-B14)*(B12-B15)*(B12-B16)*(B12-B17)*(B12-B18)*(B12-B19))+80*(J14-B8)*(J14-B12)*(J14-B15)*(J14-B16)*(J14-B17)*(J14-B18)*(J14-B19)/((B14-B8)*(B14-B12)*(B14-B15)*(B14-B16)*(B14-B17)*(B14-B18)*(B14-B19))+70*(J14-B8)*(J14-B12)*(J14-B14)*(J14-B16)*(J14-B17)*(J14-B18)*(J14-B19)/((B15-B8)*(B15-B12)*(B15-B14)*(B15-B16)*(B15-B17)*(B15-B18)*(B15-B19))+60*(J14-B8)*(J14-B12)*(J14-B14)*(J14-B15)*(J14-B17)*(J14-B18)*(J14-B19)/((B16-B8)*(B16-B12)*(B16-B14)*(B16-B15)*(B16-B17)*(B16-B18)*(B16-B19))+50*(J14-B8)*(J14-B12)*(J14-B14)*(J14-B15)*(J14-B16)*(J14-B18)*(J14-B19)/((B17-B8)*(B17-B12)*(B17-B14)*(B17-B15)*(B17-B16)*(B17-B18)*(B17-B19))+40*(J14-B8)*(J14-B12)*(J14-B14)*(J14-B15)*(J14-B16)*(J14-B17)*(J14-B19)/((B18-B8)*(B18-B12)*(B18-B14)*(B18-B15)*(B18-B16)*(B18-B17)*(B18-B19))+30*(J14-B8)*(J14-B12)*(J14-B14)*(J14-B15)*(J14-B16)*(J14-B17)*(J14-B18)/((B19-B8)*(B19-B12)*(B19-B14)*(B19-B15)*(B19-B16)*(B19-B17)*(B19-B18))</f>
        <v>102.5262770942919</v>
      </c>
      <c r="G17" s="416">
        <f>40*(J14-B19)*(J14-B20)*(J14-B21)*(J14-B22)/((B18-B19)*(B18-B20)*(B18-B21)*(B18-B22))+30*(J14-B18)*(J14-B20)*(J14-B21)*(J14-B22)/((B19-B18)*(B19-B20)*(B19-B21)*(B19-B22))+20*(J14-B18)*(J14-B19)*(J14-B21)*(J14-B22)/((B20-B18)*(B20-B19)*(B20-B21)*(B20-B22))+10*(J14-B18)*(J14-B19)*(J14-B20)*(J14-B22)/((B21-B18)*(B21-B19)*(B21-B20)*(B21-B22))+0*(J14-B18)*(J14-B19)*(J14-B20)*(J14-B21)/((B22-B18)*(B22-B19)*(B22-B20)*(B22-B21))</f>
        <v>-119.117854866434</v>
      </c>
      <c r="H17" s="323"/>
      <c r="I17" s="422" t="s">
        <v>2</v>
      </c>
      <c r="J17" s="903">
        <f>G20/0.218</f>
        <v>22.757903444420048</v>
      </c>
      <c r="K17" s="323"/>
      <c r="L17" s="602"/>
      <c r="M17" s="366">
        <f>IF(M16&lt;0.288,ROUNDDOWN(M16,0),ROUNDUP(M16,0))</f>
        <v>1.0</v>
      </c>
      <c r="N17" s="621">
        <f>IF(N16&lt;0.288,ROUNDDOWN(N16,0),ROUNDUP(N16,0))</f>
        <v>1.0</v>
      </c>
      <c r="O17" s="368"/>
      <c r="W17" s="881">
        <f t="shared" si="0"/>
        <v>0.19444444444444778</v>
      </c>
      <c r="X17" s="882">
        <f t="shared" si="3"/>
        <v>55.611111111112066</v>
      </c>
      <c r="AC17" s="859"/>
      <c r="AD17" s="859"/>
      <c r="AE17" s="869"/>
      <c r="AF17" s="869"/>
      <c r="AG17" s="869"/>
      <c r="AH17" s="869"/>
      <c r="AI17" s="869"/>
      <c r="AJ17" s="869"/>
      <c r="AK17" s="869"/>
      <c r="AL17" s="869"/>
      <c r="AM17" s="869"/>
      <c r="AN17" s="869"/>
      <c r="AO17" s="869"/>
      <c r="AP17" s="869"/>
      <c r="AQ17" s="869"/>
      <c r="AR17" s="869"/>
      <c r="AS17" s="869"/>
      <c r="AT17" s="869"/>
      <c r="AU17" s="869"/>
      <c r="AV17" s="869"/>
      <c r="AW17" s="869"/>
      <c r="AX17" s="869"/>
    </row>
    <row r="18" spans="8:8" customHeight="1">
      <c r="A18" s="886">
        <f t="shared" si="4"/>
        <v>40.0</v>
      </c>
      <c r="B18" s="886">
        <v>87.2</v>
      </c>
      <c r="C18" s="890">
        <v>0.1308</v>
      </c>
      <c r="D18" s="323"/>
      <c r="E18" s="584" t="s">
        <v>95</v>
      </c>
      <c r="F18" s="584" t="s">
        <v>96</v>
      </c>
      <c r="G18" s="584" t="s">
        <v>77</v>
      </c>
      <c r="H18" s="584" t="s">
        <v>18</v>
      </c>
      <c r="I18" s="584"/>
      <c r="J18" s="584" t="s">
        <v>14</v>
      </c>
      <c r="K18" s="605" t="s">
        <v>79</v>
      </c>
      <c r="L18" s="904" t="s">
        <v>15</v>
      </c>
      <c r="M18" s="366"/>
      <c r="N18" s="621"/>
      <c r="O18" s="368"/>
      <c r="W18" s="881">
        <f t="shared" si="0"/>
        <v>0.19722222222222577</v>
      </c>
      <c r="X18" s="882">
        <f t="shared" si="3"/>
        <v>56.40555555555657</v>
      </c>
      <c r="AC18" s="859"/>
      <c r="AD18" s="859"/>
      <c r="AE18" s="869"/>
      <c r="AF18" s="869"/>
      <c r="AG18" s="869"/>
      <c r="AH18" s="869"/>
      <c r="AI18" s="869"/>
      <c r="AJ18" s="869"/>
      <c r="AK18" s="869"/>
      <c r="AL18" s="869"/>
      <c r="AM18" s="869"/>
      <c r="AN18" s="869"/>
      <c r="AO18" s="869"/>
      <c r="AP18" s="869"/>
      <c r="AQ18" s="869"/>
      <c r="AR18" s="869"/>
      <c r="AS18" s="869"/>
      <c r="AT18" s="869"/>
      <c r="AU18" s="869"/>
      <c r="AV18" s="869"/>
      <c r="AW18" s="869"/>
      <c r="AX18" s="869"/>
    </row>
    <row r="19" spans="8:8" customHeight="1">
      <c r="A19" s="905">
        <f t="shared" si="4"/>
        <v>30.0</v>
      </c>
      <c r="B19" s="905">
        <v>66.8</v>
      </c>
      <c r="C19" s="906">
        <v>0.0896</v>
      </c>
      <c r="D19" s="584" t="s">
        <v>101</v>
      </c>
      <c r="E19" s="445" t="e">
        <f>IF(M17=0,INDEX(X1:X307,(ROUNDDOWN(((F19-15)/(20/72)+1),0)),1),INDEX(X1:X307,(ROUNDUP(((F19-15)/(20/72))+1,0)),1))</f>
        <v>#REF!</v>
      </c>
      <c r="F19" s="355">
        <f>S48</f>
        <v>101.0421999716167</v>
      </c>
      <c r="G19" s="446">
        <f>G7+H7</f>
        <v>4.75746713422869</v>
      </c>
      <c r="H19" s="584">
        <f>N19</f>
        <v>11.0</v>
      </c>
      <c r="I19" s="584" t="s">
        <v>7</v>
      </c>
      <c r="J19" s="584">
        <f>IF(M10&gt;(B19-0.0001),S29,S38)</f>
        <v>3.7438227863584332</v>
      </c>
      <c r="K19" s="907">
        <f>IF(M10&gt;B15,G38,J38)</f>
        <v>0.012923599364967708</v>
      </c>
      <c r="L19" s="908">
        <f>G27</f>
        <v>0.6979129722006336</v>
      </c>
      <c r="M19" s="444" t="s">
        <v>19</v>
      </c>
      <c r="N19" s="352">
        <f>IF(M15&lt;0.08,11,N20)</f>
        <v>11.0</v>
      </c>
      <c r="O19" s="354">
        <f>IF(N15&lt;0.08,11,O20)</f>
        <v>11.0</v>
      </c>
      <c r="W19" s="867">
        <f t="shared" si="0"/>
        <v>0.20000000000000376</v>
      </c>
      <c r="X19" s="868">
        <f>$D$1*W19</f>
        <v>57.200000000001076</v>
      </c>
      <c r="AC19" s="859"/>
      <c r="AD19" s="859"/>
      <c r="AE19" s="869"/>
      <c r="AF19" s="869"/>
      <c r="AG19" s="869"/>
      <c r="AH19" s="869"/>
      <c r="AI19" s="869"/>
      <c r="AJ19" s="869"/>
      <c r="AK19" s="869"/>
      <c r="AL19" s="869"/>
      <c r="AM19" s="869"/>
      <c r="AN19" s="869"/>
      <c r="AO19" s="869"/>
      <c r="AP19" s="869"/>
      <c r="AQ19" s="869"/>
      <c r="AR19" s="869"/>
      <c r="AS19" s="869"/>
      <c r="AT19" s="869"/>
      <c r="AU19" s="869"/>
      <c r="AV19" s="869"/>
      <c r="AW19" s="869"/>
      <c r="AX19" s="869"/>
    </row>
    <row r="20" spans="8:8" customHeight="1">
      <c r="A20" s="905">
        <f t="shared" si="4"/>
        <v>20.0</v>
      </c>
      <c r="B20" s="905">
        <v>46.8</v>
      </c>
      <c r="C20" s="906">
        <v>0.0702</v>
      </c>
      <c r="D20" s="584" t="s">
        <v>102</v>
      </c>
      <c r="E20" s="445" t="e">
        <f>IF(N17=0,INDEX(X1:X307,(ROUNDDOWN(((F20-15)/(20/72)+1),0)),1),INDEX(X1:X307,(ROUNDUP(((F20-15)/(20/72))+1,0)),1))</f>
        <v>#REF!</v>
      </c>
      <c r="F20" s="355">
        <f>S58</f>
        <v>102.732689339786</v>
      </c>
      <c r="G20" s="446">
        <f>G8+H8</f>
        <v>4.96122295088357</v>
      </c>
      <c r="H20" s="584">
        <f>O19</f>
        <v>11.0</v>
      </c>
      <c r="I20" s="584" t="s">
        <v>13</v>
      </c>
      <c r="J20" s="909">
        <f>IF(M10&gt;(B19-0.0001),T29,T38)</f>
        <v>2.7817031203710307</v>
      </c>
      <c r="K20" s="907" t="b">
        <f>IF(M10&gt;B15,G39,J39)</f>
        <v>0</v>
      </c>
      <c r="L20" s="910">
        <f>IF($T$2&gt;(-25+0.0001),K28,K36)</f>
        <v>0.7046541847196981</v>
      </c>
      <c r="M20" s="388"/>
      <c r="N20" s="388">
        <f>IF(M15&gt;(20/72)-0.08,11,10)</f>
        <v>11.0</v>
      </c>
      <c r="O20" s="402">
        <f>IF(N15&gt;(20/72)-0.08,11,10)</f>
        <v>11.0</v>
      </c>
      <c r="Q20" s="745" t="s">
        <v>206</v>
      </c>
      <c r="R20" s="911" t="s">
        <v>150</v>
      </c>
      <c r="S20" s="912" t="s">
        <v>7</v>
      </c>
      <c r="T20" s="912" t="s">
        <v>13</v>
      </c>
      <c r="W20" s="881">
        <f t="shared" si="0"/>
        <v>0.20277777777778178</v>
      </c>
      <c r="X20" s="882">
        <f>$D$1*W20</f>
        <v>57.99444444444559</v>
      </c>
      <c r="AC20" s="859"/>
      <c r="AD20" s="859"/>
      <c r="AE20" s="869"/>
      <c r="AF20" s="869"/>
      <c r="AG20" s="869"/>
      <c r="AH20" s="869"/>
      <c r="AI20" s="869"/>
      <c r="AJ20" s="869"/>
      <c r="AK20" s="869"/>
      <c r="AL20" s="869"/>
      <c r="AM20" s="869"/>
      <c r="AN20" s="869"/>
      <c r="AO20" s="869"/>
      <c r="AP20" s="869"/>
      <c r="AQ20" s="869"/>
      <c r="AR20" s="869"/>
      <c r="AS20" s="869"/>
      <c r="AT20" s="869"/>
      <c r="AU20" s="869"/>
      <c r="AV20" s="869"/>
      <c r="AW20" s="869"/>
      <c r="AX20" s="869"/>
    </row>
    <row r="21" spans="8:8" customHeight="1">
      <c r="A21" s="905">
        <f t="shared" si="4"/>
        <v>10.0</v>
      </c>
      <c r="B21" s="905">
        <v>25.4</v>
      </c>
      <c r="C21" s="906">
        <v>0.0315</v>
      </c>
      <c r="L21" s="869"/>
      <c r="Q21" s="913">
        <v>1.0</v>
      </c>
      <c r="R21" s="914">
        <f>B8</f>
        <v>256.05</v>
      </c>
      <c r="S21" s="915">
        <v>3.7</v>
      </c>
      <c r="T21" s="914">
        <v>2.8</v>
      </c>
      <c r="W21" s="881">
        <f t="shared" si="0"/>
        <v>0.20555555555555977</v>
      </c>
      <c r="X21" s="882">
        <f t="shared" si="5" ref="X21:X27">$D$1*W21</f>
        <v>58.78888888889009</v>
      </c>
      <c r="AC21" s="859"/>
      <c r="AD21" s="859"/>
      <c r="AE21" s="869"/>
      <c r="AF21" s="869"/>
      <c r="AG21" s="869"/>
      <c r="AH21" s="869"/>
      <c r="AI21" s="869"/>
      <c r="AJ21" s="869"/>
      <c r="AK21" s="869"/>
      <c r="AL21" s="869"/>
      <c r="AM21" s="869"/>
      <c r="AN21" s="869"/>
      <c r="AO21" s="869"/>
      <c r="AP21" s="869"/>
      <c r="AQ21" s="869"/>
      <c r="AR21" s="869"/>
      <c r="AS21" s="869"/>
      <c r="AT21" s="869"/>
      <c r="AU21" s="869"/>
      <c r="AV21" s="869"/>
      <c r="AW21" s="869"/>
      <c r="AX21" s="869"/>
    </row>
    <row r="22" spans="8:8" customHeight="1">
      <c r="A22" s="905">
        <f t="shared" si="4"/>
        <v>0.0</v>
      </c>
      <c r="B22" s="905">
        <v>0.0</v>
      </c>
      <c r="C22" s="906">
        <v>0.0</v>
      </c>
      <c r="D22" s="323"/>
      <c r="E22" s="916" t="s">
        <v>7</v>
      </c>
      <c r="F22" s="917">
        <v>0.01</v>
      </c>
      <c r="G22" s="798">
        <v>0.697</v>
      </c>
      <c r="H22" s="869"/>
      <c r="I22" s="918" t="s">
        <v>13</v>
      </c>
      <c r="J22" s="793">
        <v>-0.01</v>
      </c>
      <c r="K22" s="815">
        <f t="shared" si="6" ref="K22:K27">R64+$K$29</f>
        <v>0.701</v>
      </c>
      <c r="L22" s="869"/>
      <c r="M22" s="918" t="s">
        <v>13</v>
      </c>
      <c r="N22" s="793">
        <v>-0.01</v>
      </c>
      <c r="O22" s="919">
        <f t="shared" si="7" ref="O22:O27">T64+$O$29</f>
        <v>0.0114</v>
      </c>
      <c r="Q22" s="913">
        <v>0.9</v>
      </c>
      <c r="R22" s="914">
        <f>B12</f>
        <v>222.2</v>
      </c>
      <c r="S22" s="915">
        <v>3.5</v>
      </c>
      <c r="T22" s="914">
        <v>2.7</v>
      </c>
      <c r="W22" s="881">
        <f t="shared" si="0"/>
        <v>0.20833333333333776</v>
      </c>
      <c r="X22" s="882">
        <f t="shared" si="5"/>
        <v>59.5833333333346</v>
      </c>
      <c r="AC22" s="859"/>
      <c r="AD22" s="859"/>
      <c r="AE22" s="869"/>
      <c r="AF22" s="869"/>
      <c r="AG22" s="869"/>
      <c r="AH22" s="869"/>
      <c r="AI22" s="869"/>
      <c r="AJ22" s="869"/>
      <c r="AK22" s="869"/>
      <c r="AL22" s="869"/>
      <c r="AM22" s="869"/>
      <c r="AN22" s="869"/>
      <c r="AO22" s="869"/>
      <c r="AP22" s="869"/>
      <c r="AQ22" s="869"/>
      <c r="AR22" s="869"/>
      <c r="AS22" s="869"/>
      <c r="AT22" s="869"/>
      <c r="AU22" s="869"/>
      <c r="AV22" s="869"/>
      <c r="AW22" s="869"/>
      <c r="AX22" s="869"/>
    </row>
    <row r="23" spans="8:8" ht="13.5" customHeight="1">
      <c r="D23" s="323"/>
      <c r="E23" s="916" t="s">
        <v>7</v>
      </c>
      <c r="F23" s="917">
        <v>5.0</v>
      </c>
      <c r="G23" s="798">
        <v>0.703</v>
      </c>
      <c r="H23" s="869"/>
      <c r="I23" s="918" t="s">
        <v>13</v>
      </c>
      <c r="J23" s="793">
        <v>-5.0</v>
      </c>
      <c r="K23" s="815">
        <f t="shared" si="6"/>
        <v>0.695</v>
      </c>
      <c r="L23" s="869"/>
      <c r="M23" s="918" t="s">
        <v>13</v>
      </c>
      <c r="N23" s="793">
        <v>-5.0</v>
      </c>
      <c r="O23" s="919">
        <f t="shared" si="7"/>
        <v>0.011389999999999999</v>
      </c>
      <c r="P23" s="627"/>
      <c r="Q23" s="913">
        <v>0.8</v>
      </c>
      <c r="R23" s="914">
        <f t="shared" si="8" ref="R23">B14</f>
        <v>189.45</v>
      </c>
      <c r="S23" s="915">
        <v>3.3</v>
      </c>
      <c r="T23" s="914">
        <v>2.4</v>
      </c>
      <c r="W23" s="881">
        <f t="shared" si="0"/>
        <v>0.21111111111111577</v>
      </c>
      <c r="X23" s="882">
        <f t="shared" si="5"/>
        <v>60.37777777777911</v>
      </c>
      <c r="AC23" s="859"/>
      <c r="AD23" s="859"/>
      <c r="AE23" s="869"/>
      <c r="AF23" s="869"/>
      <c r="AG23" s="869"/>
      <c r="AH23" s="869"/>
      <c r="AI23" s="869"/>
      <c r="AJ23" s="869"/>
      <c r="AK23" s="869"/>
      <c r="AL23" s="869"/>
      <c r="AM23" s="869"/>
      <c r="AN23" s="869"/>
      <c r="AO23" s="869"/>
      <c r="AP23" s="869"/>
      <c r="AQ23" s="869"/>
      <c r="AR23" s="869"/>
      <c r="AS23" s="869"/>
      <c r="AT23" s="869"/>
      <c r="AU23" s="869"/>
      <c r="AV23" s="869"/>
      <c r="AW23" s="869"/>
      <c r="AX23" s="869"/>
    </row>
    <row r="24" spans="8:8" customHeight="1">
      <c r="D24" s="323"/>
      <c r="E24" s="916" t="s">
        <v>7</v>
      </c>
      <c r="F24" s="917">
        <v>10.0</v>
      </c>
      <c r="G24" s="798">
        <v>0.71</v>
      </c>
      <c r="H24" s="869"/>
      <c r="I24" s="918" t="s">
        <v>13</v>
      </c>
      <c r="J24" s="793">
        <v>-10.0</v>
      </c>
      <c r="K24" s="815">
        <f t="shared" si="6"/>
        <v>0.688</v>
      </c>
      <c r="L24" s="869"/>
      <c r="M24" s="918" t="s">
        <v>13</v>
      </c>
      <c r="N24" s="793">
        <v>-10.0</v>
      </c>
      <c r="O24" s="919">
        <f t="shared" si="7"/>
        <v>0.01138</v>
      </c>
      <c r="P24" s="323"/>
      <c r="Q24" s="913">
        <v>0.7</v>
      </c>
      <c r="R24" s="914">
        <f>B15</f>
        <v>159.3</v>
      </c>
      <c r="S24" s="920">
        <v>3.0</v>
      </c>
      <c r="T24" s="920">
        <v>2.1</v>
      </c>
      <c r="W24" s="881">
        <f t="shared" si="0"/>
        <v>0.21388888888889376</v>
      </c>
      <c r="X24" s="882">
        <f t="shared" si="5"/>
        <v>61.17222222222362</v>
      </c>
      <c r="AC24" s="859"/>
      <c r="AD24" s="859"/>
      <c r="AE24" s="869"/>
      <c r="AF24" s="869"/>
      <c r="AG24" s="869"/>
      <c r="AH24" s="869"/>
      <c r="AI24" s="869"/>
      <c r="AJ24" s="869"/>
      <c r="AK24" s="869"/>
      <c r="AL24" s="869"/>
      <c r="AM24" s="869"/>
      <c r="AN24" s="869"/>
      <c r="AO24" s="869"/>
      <c r="AP24" s="869"/>
      <c r="AQ24" s="869"/>
      <c r="AR24" s="869"/>
      <c r="AS24" s="869"/>
      <c r="AT24" s="869"/>
      <c r="AU24" s="869"/>
      <c r="AV24" s="869"/>
      <c r="AW24" s="869"/>
      <c r="AX24" s="869"/>
    </row>
    <row r="25" spans="8:8" customHeight="1">
      <c r="A25" s="665" t="s">
        <v>3</v>
      </c>
      <c r="B25" s="665" t="s">
        <v>86</v>
      </c>
      <c r="C25" s="665" t="s">
        <v>77</v>
      </c>
      <c r="D25" s="323"/>
      <c r="E25" s="916" t="s">
        <v>7</v>
      </c>
      <c r="F25" s="917">
        <v>15.0</v>
      </c>
      <c r="G25" s="798">
        <v>0.717</v>
      </c>
      <c r="H25" s="869"/>
      <c r="I25" s="918" t="s">
        <v>13</v>
      </c>
      <c r="J25" s="793">
        <v>-15.0</v>
      </c>
      <c r="K25" s="815">
        <f t="shared" si="6"/>
        <v>0.677</v>
      </c>
      <c r="L25" s="869"/>
      <c r="M25" s="918" t="s">
        <v>13</v>
      </c>
      <c r="N25" s="793">
        <v>-15.0</v>
      </c>
      <c r="O25" s="919">
        <f t="shared" si="7"/>
        <v>0.01137</v>
      </c>
      <c r="P25" s="323"/>
      <c r="Q25" s="913">
        <v>0.6</v>
      </c>
      <c r="R25" s="914">
        <f>B16</f>
        <v>132.6</v>
      </c>
      <c r="S25" s="920">
        <v>2.6</v>
      </c>
      <c r="T25" s="920">
        <v>1.9</v>
      </c>
      <c r="W25" s="881">
        <f t="shared" si="0"/>
        <v>0.21666666666667178</v>
      </c>
      <c r="X25" s="882">
        <f t="shared" si="5"/>
        <v>61.96666666666813</v>
      </c>
      <c r="AC25" s="859"/>
      <c r="AD25" s="859"/>
      <c r="AE25" s="869"/>
      <c r="AF25" s="869"/>
      <c r="AG25" s="869"/>
      <c r="AH25" s="869"/>
      <c r="AI25" s="869"/>
      <c r="AJ25" s="869"/>
      <c r="AK25" s="869"/>
      <c r="AL25" s="869"/>
      <c r="AM25" s="869"/>
      <c r="AN25" s="869"/>
      <c r="AO25" s="869"/>
      <c r="AP25" s="869"/>
      <c r="AQ25" s="869"/>
      <c r="AR25" s="869"/>
      <c r="AS25" s="869"/>
      <c r="AT25" s="869"/>
      <c r="AU25" s="869"/>
      <c r="AV25" s="869"/>
      <c r="AW25" s="869"/>
      <c r="AX25" s="869"/>
    </row>
    <row r="26" spans="8:8" customHeight="1">
      <c r="A26" s="344"/>
      <c r="B26" s="886"/>
      <c r="C26" s="886"/>
      <c r="D26" s="323"/>
      <c r="E26" s="916" t="s">
        <v>7</v>
      </c>
      <c r="F26" s="917">
        <v>20.0</v>
      </c>
      <c r="G26" s="798">
        <v>0.726</v>
      </c>
      <c r="H26" s="869"/>
      <c r="I26" s="918" t="s">
        <v>13</v>
      </c>
      <c r="J26" s="793">
        <v>-20.0</v>
      </c>
      <c r="K26" s="815">
        <f t="shared" si="6"/>
        <v>0.671</v>
      </c>
      <c r="L26" s="869"/>
      <c r="M26" s="918" t="s">
        <v>13</v>
      </c>
      <c r="N26" s="793">
        <v>-20.0</v>
      </c>
      <c r="O26" s="919">
        <f t="shared" si="7"/>
        <v>0.01136</v>
      </c>
      <c r="P26" s="323"/>
      <c r="Q26" s="913">
        <v>0.5</v>
      </c>
      <c r="R26" s="914">
        <f>B17</f>
        <v>108.8</v>
      </c>
      <c r="S26" s="920">
        <v>2.2</v>
      </c>
      <c r="T26" s="920">
        <v>1.6</v>
      </c>
      <c r="W26" s="881">
        <f t="shared" si="0"/>
        <v>0.21944444444444977</v>
      </c>
      <c r="X26" s="882">
        <f t="shared" si="5"/>
        <v>62.76111111111263</v>
      </c>
      <c r="AC26" s="859"/>
      <c r="AD26" s="859"/>
      <c r="AE26" s="869"/>
      <c r="AF26" s="869"/>
      <c r="AG26" s="869"/>
      <c r="AH26" s="869"/>
      <c r="AI26" s="869"/>
      <c r="AJ26" s="869"/>
      <c r="AK26" s="869"/>
      <c r="AL26" s="869"/>
      <c r="AM26" s="869"/>
      <c r="AN26" s="869"/>
      <c r="AO26" s="869"/>
      <c r="AP26" s="869"/>
      <c r="AQ26" s="869"/>
      <c r="AR26" s="869"/>
      <c r="AS26" s="869"/>
      <c r="AT26" s="869"/>
      <c r="AU26" s="869"/>
      <c r="AV26" s="869"/>
      <c r="AW26" s="869"/>
      <c r="AX26" s="869"/>
    </row>
    <row r="27" spans="8:8" ht="13.5" customHeight="1">
      <c r="A27" s="360"/>
      <c r="B27" s="886"/>
      <c r="C27" s="890"/>
      <c r="D27" s="323"/>
      <c r="E27" s="916" t="s">
        <v>74</v>
      </c>
      <c r="F27" s="917">
        <f>$T$2</f>
        <v>0.95</v>
      </c>
      <c r="G27" s="921">
        <f>G22*(F27-F23)*(F27-F24)*(F27-F25)*(F27-F26)/((F22-F23)*(F22-F24)*(F22-F25)*(F22-F26))+G23*(F27-F22)*(F27-F24)*(F27-F25)*(F27-F26)/((F23-F22)*(F23-F24)*(F23-F25)*(F23-F26))+G24*(F27-F22)*(F27-F23)*(F27-F25)*(F27-F26)/((F24-F22)*(F24-F23)*(F24-F25)*(F24-F26))+G25*(F27-F22)*(F27-F23)*(F27-F24)*(F27-F26)/((F25-F22)*(F25-F23)*(F25-F24)*(F25-F26))+G26*(F27-F22)*(F27-F23)*(F27-F24)*(F27-F25)/((F26-F22)*(F26-F23)*(F26-F24)*(F26-F25))</f>
        <v>0.6979129722006336</v>
      </c>
      <c r="H27" s="869"/>
      <c r="I27" s="918" t="s">
        <v>13</v>
      </c>
      <c r="J27" s="793">
        <v>-25.0</v>
      </c>
      <c r="K27" s="815">
        <f t="shared" si="6"/>
        <v>0.663</v>
      </c>
      <c r="L27" s="869"/>
      <c r="M27" s="918" t="s">
        <v>13</v>
      </c>
      <c r="N27" s="793">
        <v>-25.0</v>
      </c>
      <c r="O27" s="919">
        <f t="shared" si="7"/>
        <v>0.011349999999999999</v>
      </c>
      <c r="P27" s="322"/>
      <c r="Q27" s="913">
        <v>0.4</v>
      </c>
      <c r="R27" s="914">
        <f>B18</f>
        <v>87.2</v>
      </c>
      <c r="S27" s="920">
        <v>1.7</v>
      </c>
      <c r="T27" s="920">
        <v>1.4</v>
      </c>
      <c r="W27" s="881">
        <f t="shared" si="0"/>
        <v>0.22222222222222776</v>
      </c>
      <c r="X27" s="882">
        <f t="shared" si="5"/>
        <v>63.55555555555714</v>
      </c>
      <c r="AC27" s="859"/>
      <c r="AD27" s="859"/>
      <c r="AE27" s="869"/>
      <c r="AF27" s="869"/>
      <c r="AG27" s="869"/>
      <c r="AH27" s="869"/>
      <c r="AI27" s="869"/>
      <c r="AJ27" s="869"/>
      <c r="AK27" s="869"/>
      <c r="AL27" s="869"/>
      <c r="AM27" s="869"/>
      <c r="AN27" s="869"/>
      <c r="AO27" s="869"/>
      <c r="AP27" s="869"/>
      <c r="AQ27" s="869"/>
      <c r="AR27" s="869"/>
      <c r="AS27" s="869"/>
      <c r="AT27" s="869"/>
      <c r="AU27" s="869"/>
      <c r="AV27" s="869"/>
      <c r="AW27" s="869"/>
      <c r="AX27" s="869"/>
    </row>
    <row r="28" spans="8:8" ht="13.5" customHeight="1">
      <c r="A28" s="426"/>
      <c r="B28" s="886"/>
      <c r="C28" s="890"/>
      <c r="D28" s="323"/>
      <c r="E28" s="627"/>
      <c r="F28" s="323"/>
      <c r="G28" s="323"/>
      <c r="H28" s="869"/>
      <c r="I28" s="918" t="s">
        <v>16</v>
      </c>
      <c r="J28" s="917">
        <f>$T$2</f>
        <v>0.95</v>
      </c>
      <c r="K28" s="808">
        <f>K22*(J28-J23)*(J28-J24)*(J28-J25)*(J28-J26)*(J28-J27)/((J22-J23)*(J22-J24)*(J22-J25)*(J22-J26)*(J22-J27))+K23*(J28-J22)*(J28-J24)*(J28-J25)*(J28-J26)*(J28-J27)/((J23-J22)*(J23-J24)*(J23-J25)*(J23-J26)*(J23-J27))+K24*(J28-J22)*(J28-J23)*(J28-J25)*(J28-J26)*(J28-J27)/((J24-J22)*(J24-J23)*(J24-J25)*(J24-J26)*(J24-J27))+K25*(J28-J22)*(J28-J23)*(J28-J24)*(J28-J26)*(J28-J27)/((J25-J22)*(J25-J23)*(J25-J24)*(J25-J26)*(J25-J27))+K26*(J28-J22)*(J28-J23)*(J28-J24)*(J28-J25)*(J28-J27)/((J26-J22)*(J26-J23)*(J26-J24)*(J26-J25)*(J26-J27))+K27*(J28-J22)*(J28-J23)*(J28-J24)*(J28-J25)*(J28-J26)/((J27-J22)*(J27-J23)*(J27-J24)*(J27-J25)*(J27-J26))</f>
        <v>0.7046541847196981</v>
      </c>
      <c r="L28" s="869"/>
      <c r="M28" s="918" t="s">
        <v>16</v>
      </c>
      <c r="N28" s="917">
        <f>$T$2</f>
        <v>0.95</v>
      </c>
      <c r="O28" s="922">
        <f>O22*(N28-N23)*(N28-N24)*(N28-N25)*(N28-N26)*(N28-N27)/((N22-N23)*(N22-N24)*(N22-N25)*(N22-N26)*(N22-N27))+O23*(N28-N22)*(N28-N24)*(N28-N25)*(N28-N26)*(N28-N27)/((N23-N22)*(N23-N24)*(N23-N25)*(N23-N26)*(N23-N27))+O24*(N28-N22)*(N28-N23)*(N28-N25)*(N28-N26)*(N28-N27)/((N24-N22)*(N24-N23)*(N24-N25)*(N24-N26)*(N24-N27))+O25*(N28-N22)*(N28-N23)*(N28-N24)*(N28-N26)*(N28-N27)/((N25-N22)*(N25-N23)*(N25-N24)*(N25-N26)*(N25-N27))+O26*(N28-N22)*(N28-N23)*(N28-N24)*(N28-N25)*(N28-N27)/((N26-N22)*(N26-N23)*(N26-N24)*(N26-N25)*(N26-N27))+O27*(N28-N22)*(N28-N23)*(N28-N24)*(N28-N25)*(N28-N26)/((N27-N22)*(N27-N23)*(N27-N24)*(N27-N25)*(N27-N26))</f>
        <v>0.011401930268886215</v>
      </c>
      <c r="P28" s="322"/>
      <c r="Q28" s="913">
        <v>0.3</v>
      </c>
      <c r="R28" s="914">
        <f>B19</f>
        <v>66.8</v>
      </c>
      <c r="S28" s="920">
        <v>1.5</v>
      </c>
      <c r="T28" s="920">
        <v>1.3</v>
      </c>
      <c r="W28" s="867">
        <f t="shared" si="0"/>
        <v>0.22500000000000578</v>
      </c>
      <c r="X28" s="868">
        <f>$D$1*W28</f>
        <v>64.35000000000166</v>
      </c>
      <c r="AC28" s="859"/>
      <c r="AD28" s="859"/>
      <c r="AE28" s="869"/>
      <c r="AF28" s="869"/>
      <c r="AG28" s="869"/>
      <c r="AH28" s="869"/>
      <c r="AI28" s="869"/>
      <c r="AJ28" s="869"/>
      <c r="AK28" s="869"/>
      <c r="AL28" s="869"/>
      <c r="AM28" s="869"/>
      <c r="AN28" s="869"/>
      <c r="AO28" s="869"/>
      <c r="AP28" s="869"/>
      <c r="AQ28" s="869"/>
      <c r="AR28" s="869"/>
      <c r="AS28" s="869"/>
      <c r="AT28" s="869"/>
      <c r="AU28" s="869"/>
      <c r="AV28" s="869"/>
      <c r="AW28" s="869"/>
      <c r="AX28" s="869"/>
    </row>
    <row r="29" spans="8:8" ht="13.5" customHeight="1">
      <c r="A29" s="886">
        <v>100.0</v>
      </c>
      <c r="B29" s="886">
        <v>256.05</v>
      </c>
      <c r="C29" s="890">
        <v>1.0515</v>
      </c>
      <c r="D29" s="323"/>
      <c r="H29" s="869"/>
      <c r="I29" s="923"/>
      <c r="J29" s="924" t="s">
        <v>221</v>
      </c>
      <c r="K29" s="924">
        <v>-0.008</v>
      </c>
      <c r="L29" s="869"/>
      <c r="M29" s="923"/>
      <c r="N29" s="924" t="s">
        <v>221</v>
      </c>
      <c r="O29" s="924">
        <v>5.0E-5</v>
      </c>
      <c r="P29" s="322"/>
      <c r="Q29" s="859"/>
      <c r="R29" s="925">
        <f>$M$10</f>
        <v>261.88</v>
      </c>
      <c r="S29" s="926">
        <f>S21*(R29-R22)*(R29-R23)*(R29-R24)/((R21-R22)*(R21-R23)*(R21-R24))+S22*(R29-R21)*(R29-R23)*(R29-R24)/((R22-R21)*(R22-R23)*(R22-R24))+S23*(R29-R21)*(R29-R22)*(R29-R24)/((R23-R21)*(R23-R22)*(R23-R24))+S24*(R29-R21)*(R29-R22)*(R29-R23)/((R24-R21)*(R24-R22)*(R24-R23))</f>
        <v>3.7438227863584332</v>
      </c>
      <c r="T29" s="926">
        <f>T21*(R29-R22)*(R29-R23)*(R29-R24)/((R21-R22)*(R21-R23)*(R21-R24))+T22*(R29-R21)*(R29-R23)*(R29-R24)/((R22-R21)*(R22-R23)*(R22-R24))+T23*(R29-R21)*(R29-R22)*(R29-R24)/((R23-R21)*(R23-R22)*(R23-R24))+T24*(R29-R21)*(R29-R22)*(R29-R23)/((R24-R21)*(R24-R22)*(R24-R23))</f>
        <v>2.7817031203710307</v>
      </c>
      <c r="W29" s="881">
        <f t="shared" si="0"/>
        <v>0.22777777777778377</v>
      </c>
      <c r="X29" s="882">
        <f>$D$1*W29</f>
        <v>65.14444444444615</v>
      </c>
      <c r="AC29" s="859"/>
      <c r="AD29" s="859"/>
      <c r="AE29" s="869"/>
      <c r="AF29" s="869"/>
      <c r="AG29" s="869"/>
      <c r="AH29" s="869"/>
      <c r="AI29" s="869"/>
      <c r="AJ29" s="869"/>
      <c r="AK29" s="869"/>
      <c r="AL29" s="869"/>
      <c r="AM29" s="869"/>
      <c r="AN29" s="869"/>
      <c r="AO29" s="869"/>
      <c r="AP29" s="869"/>
      <c r="AQ29" s="869"/>
      <c r="AR29" s="869"/>
      <c r="AS29" s="869"/>
      <c r="AT29" s="869"/>
      <c r="AU29" s="869"/>
      <c r="AV29" s="869"/>
      <c r="AW29" s="869"/>
      <c r="AX29" s="869"/>
    </row>
    <row r="30" spans="8:8" customHeight="1">
      <c r="A30" s="822">
        <v>97.5</v>
      </c>
      <c r="B30" s="822">
        <v>247.6</v>
      </c>
      <c r="C30" s="897">
        <v>0.9798</v>
      </c>
      <c r="E30" s="916" t="s">
        <v>7</v>
      </c>
      <c r="F30" s="917">
        <v>0.01</v>
      </c>
      <c r="G30" s="927">
        <v>0.01315</v>
      </c>
      <c r="H30" s="869"/>
      <c r="I30" s="918" t="s">
        <v>13</v>
      </c>
      <c r="J30" s="793">
        <v>-25.0</v>
      </c>
      <c r="K30" s="815">
        <f>R71+$K$29</f>
        <v>0.663</v>
      </c>
      <c r="L30" s="869"/>
      <c r="M30" s="918" t="s">
        <v>13</v>
      </c>
      <c r="N30" s="793">
        <v>-25.0</v>
      </c>
      <c r="O30" s="919">
        <f t="shared" si="9" ref="O30:O35">T71+$O$29</f>
        <v>0.011349999999999999</v>
      </c>
      <c r="P30" s="322"/>
      <c r="Q30" s="859"/>
      <c r="W30" s="881">
        <f t="shared" si="0"/>
        <v>0.23055555555556176</v>
      </c>
      <c r="X30" s="882">
        <f t="shared" si="10" ref="X30:X36">$D$1*W30</f>
        <v>65.93888888889066</v>
      </c>
      <c r="AC30" s="859"/>
      <c r="AD30" s="859"/>
      <c r="AE30" s="869"/>
      <c r="AF30" s="869"/>
      <c r="AG30" s="869"/>
      <c r="AH30" s="869"/>
      <c r="AI30" s="869"/>
      <c r="AJ30" s="869"/>
      <c r="AK30" s="869"/>
      <c r="AL30" s="869"/>
      <c r="AM30" s="869"/>
      <c r="AN30" s="869"/>
      <c r="AO30" s="869"/>
      <c r="AP30" s="869"/>
      <c r="AQ30" s="869"/>
      <c r="AR30" s="869"/>
      <c r="AS30" s="869"/>
      <c r="AT30" s="869"/>
      <c r="AU30" s="869"/>
      <c r="AV30" s="869"/>
      <c r="AW30" s="869"/>
      <c r="AX30" s="869"/>
    </row>
    <row r="31" spans="8:8" customHeight="1">
      <c r="A31" s="898">
        <v>95.0</v>
      </c>
      <c r="B31" s="822">
        <v>239.2</v>
      </c>
      <c r="C31" s="897">
        <v>0.8795</v>
      </c>
      <c r="E31" s="916" t="s">
        <v>7</v>
      </c>
      <c r="F31" s="917">
        <v>5.0</v>
      </c>
      <c r="G31" s="927">
        <v>0.01319</v>
      </c>
      <c r="H31" s="869"/>
      <c r="I31" s="918" t="s">
        <v>13</v>
      </c>
      <c r="J31" s="793">
        <v>-30.0</v>
      </c>
      <c r="K31" s="815">
        <f t="shared" si="11" ref="K31:K35">R72+$K$29</f>
        <v>0.651</v>
      </c>
      <c r="L31" s="869"/>
      <c r="M31" s="918" t="s">
        <v>13</v>
      </c>
      <c r="N31" s="793">
        <v>-30.0</v>
      </c>
      <c r="O31" s="919">
        <f t="shared" si="9"/>
        <v>0.01134</v>
      </c>
      <c r="P31" s="322"/>
      <c r="Q31" s="859"/>
      <c r="W31" s="881">
        <f t="shared" si="0"/>
        <v>0.23333333333333978</v>
      </c>
      <c r="X31" s="882">
        <f t="shared" si="10"/>
        <v>66.73333333333518</v>
      </c>
      <c r="AC31" s="859"/>
      <c r="AD31" s="859"/>
      <c r="AE31" s="869"/>
      <c r="AF31" s="869"/>
      <c r="AG31" s="869"/>
      <c r="AH31" s="869"/>
      <c r="AI31" s="869"/>
      <c r="AJ31" s="869"/>
      <c r="AK31" s="869"/>
      <c r="AL31" s="869"/>
      <c r="AM31" s="869"/>
      <c r="AN31" s="869"/>
      <c r="AO31" s="869"/>
      <c r="AP31" s="869"/>
      <c r="AQ31" s="869"/>
      <c r="AR31" s="869"/>
      <c r="AS31" s="869"/>
      <c r="AT31" s="869"/>
      <c r="AU31" s="869"/>
      <c r="AV31" s="869"/>
      <c r="AW31" s="869"/>
      <c r="AX31" s="869"/>
    </row>
    <row r="32" spans="8:8" customHeight="1">
      <c r="A32" s="822">
        <v>92.5</v>
      </c>
      <c r="B32" s="822">
        <v>230.35</v>
      </c>
      <c r="C32" s="897">
        <v>0.8005</v>
      </c>
      <c r="E32" s="916" t="s">
        <v>7</v>
      </c>
      <c r="F32" s="917">
        <v>10.0</v>
      </c>
      <c r="G32" s="927">
        <v>0.01323</v>
      </c>
      <c r="H32" s="869"/>
      <c r="I32" s="918" t="s">
        <v>13</v>
      </c>
      <c r="J32" s="793">
        <v>-35.0</v>
      </c>
      <c r="K32" s="815">
        <f t="shared" si="11"/>
        <v>0.638</v>
      </c>
      <c r="L32" s="869"/>
      <c r="M32" s="918" t="s">
        <v>13</v>
      </c>
      <c r="N32" s="793">
        <v>-35.0</v>
      </c>
      <c r="O32" s="919">
        <f t="shared" si="9"/>
        <v>0.01133</v>
      </c>
      <c r="P32" s="322"/>
      <c r="Q32" s="745" t="s">
        <v>207</v>
      </c>
      <c r="R32" s="911" t="s">
        <v>150</v>
      </c>
      <c r="S32" s="912" t="s">
        <v>7</v>
      </c>
      <c r="T32" s="912" t="s">
        <v>13</v>
      </c>
      <c r="W32" s="881">
        <f t="shared" si="0"/>
        <v>0.23611111111111777</v>
      </c>
      <c r="X32" s="882">
        <f t="shared" si="10"/>
        <v>67.52777777777968</v>
      </c>
      <c r="AC32" s="859"/>
      <c r="AD32" s="859"/>
      <c r="AE32" s="869"/>
      <c r="AF32" s="869"/>
      <c r="AG32" s="869"/>
      <c r="AH32" s="869"/>
      <c r="AI32" s="869"/>
      <c r="AJ32" s="869"/>
      <c r="AK32" s="869"/>
      <c r="AL32" s="869"/>
      <c r="AM32" s="869"/>
      <c r="AN32" s="869"/>
      <c r="AO32" s="869"/>
      <c r="AP32" s="869"/>
      <c r="AQ32" s="869"/>
      <c r="AR32" s="869"/>
      <c r="AS32" s="869"/>
      <c r="AT32" s="869"/>
      <c r="AU32" s="869"/>
      <c r="AV32" s="869"/>
      <c r="AW32" s="869"/>
      <c r="AX32" s="869"/>
    </row>
    <row r="33" spans="8:8" customHeight="1">
      <c r="A33" s="886">
        <v>90.0</v>
      </c>
      <c r="B33" s="886">
        <v>222.2</v>
      </c>
      <c r="C33" s="890">
        <v>0.7344</v>
      </c>
      <c r="E33" s="916" t="s">
        <v>7</v>
      </c>
      <c r="F33" s="917">
        <v>15.0</v>
      </c>
      <c r="G33" s="927">
        <v>0.01327</v>
      </c>
      <c r="H33" s="869"/>
      <c r="I33" s="918" t="s">
        <v>13</v>
      </c>
      <c r="J33" s="793">
        <v>-40.0</v>
      </c>
      <c r="K33" s="815">
        <f t="shared" si="11"/>
        <v>0.626</v>
      </c>
      <c r="L33" s="869"/>
      <c r="M33" s="918" t="s">
        <v>13</v>
      </c>
      <c r="N33" s="793">
        <v>-40.0</v>
      </c>
      <c r="O33" s="919">
        <f t="shared" si="9"/>
        <v>0.01132</v>
      </c>
      <c r="P33" s="322"/>
      <c r="Q33" s="913">
        <v>0.4</v>
      </c>
      <c r="R33" s="920">
        <f>B18</f>
        <v>87.2</v>
      </c>
      <c r="S33" s="928">
        <v>1.7</v>
      </c>
      <c r="T33" s="928">
        <v>1.4</v>
      </c>
      <c r="W33" s="881">
        <f t="shared" si="0"/>
        <v>0.23888888888889576</v>
      </c>
      <c r="X33" s="882">
        <f t="shared" si="10"/>
        <v>68.32222222222418</v>
      </c>
      <c r="AC33" s="859"/>
      <c r="AU33" s="323"/>
      <c r="AV33" s="323"/>
      <c r="AW33" s="600"/>
      <c r="AX33" s="647"/>
      <c r="AY33" s="602"/>
      <c r="AZ33" s="580"/>
      <c r="BA33" s="580"/>
    </row>
    <row r="34" spans="8:8" customHeight="1">
      <c r="A34" s="675">
        <v>85.0</v>
      </c>
      <c r="B34" s="675">
        <v>205.55</v>
      </c>
      <c r="C34" s="675">
        <v>0.6085</v>
      </c>
      <c r="D34" s="322"/>
      <c r="E34" s="916" t="s">
        <v>7</v>
      </c>
      <c r="F34" s="917">
        <v>20.0</v>
      </c>
      <c r="G34" s="927">
        <v>0.01331</v>
      </c>
      <c r="H34" s="869"/>
      <c r="I34" s="918" t="s">
        <v>13</v>
      </c>
      <c r="J34" s="793">
        <v>-45.0</v>
      </c>
      <c r="K34" s="815">
        <f t="shared" si="11"/>
        <v>0.614</v>
      </c>
      <c r="L34" s="869"/>
      <c r="M34" s="918" t="s">
        <v>13</v>
      </c>
      <c r="N34" s="793">
        <v>-45.0</v>
      </c>
      <c r="O34" s="919">
        <f t="shared" si="9"/>
        <v>0.011309999999999999</v>
      </c>
      <c r="P34" s="322"/>
      <c r="Q34" s="913">
        <v>0.3</v>
      </c>
      <c r="R34" s="920">
        <f>B19</f>
        <v>66.8</v>
      </c>
      <c r="S34" s="928">
        <v>1.5</v>
      </c>
      <c r="T34" s="928">
        <v>1.3</v>
      </c>
      <c r="W34" s="881">
        <f t="shared" si="0"/>
        <v>0.24166666666667377</v>
      </c>
      <c r="X34" s="882">
        <f t="shared" si="10"/>
        <v>69.1166666666687</v>
      </c>
      <c r="AC34" s="859"/>
      <c r="AU34" s="580"/>
      <c r="AV34" s="929"/>
      <c r="AW34" s="930"/>
      <c r="AX34" s="931"/>
      <c r="AY34" s="932"/>
      <c r="AZ34" s="580"/>
      <c r="BA34" s="580"/>
    </row>
    <row r="35" spans="8:8" ht="13.5" customHeight="1">
      <c r="A35" s="886">
        <f>A33-10</f>
        <v>80.0</v>
      </c>
      <c r="B35" s="886">
        <v>189.45</v>
      </c>
      <c r="C35" s="890">
        <v>0.4966</v>
      </c>
      <c r="D35" s="869"/>
      <c r="E35" s="916" t="s">
        <v>12</v>
      </c>
      <c r="F35" s="917">
        <f>$T$2</f>
        <v>0.95</v>
      </c>
      <c r="G35" s="933">
        <f>G30*(F35-F31)*(F35-F32)*(F35-F33)*(F35-F34)/((F30-F31)*(F30-F32)*(F30-F33)*(F30-F34))+G31*(F35-F30)*(F35-F32)*(F35-F33)*(F35-F34)/((F31-F30)*(F31-F32)*(F31-F33)*(F31-F34))+G32*(F35-F30)*(F35-F31)*(F35-F33)*(F35-F34)/((F32-F30)*(F32-F31)*(F32-F33)*(F32-F34))+G33*(F35-F30)*(F35-F31)*(F35-F32)*(F35-F34)/((F33-F30)*(F33-F31)*(F33-F32)*(F33-F34))+G34*(F35-F30)*(F35-F31)*(F35-F32)*(F35-F33)/((F34-F30)*(F34-F31)*(F34-F32)*(F34-F33))</f>
        <v>0.013157547460681767</v>
      </c>
      <c r="H35" s="869"/>
      <c r="I35" s="918" t="s">
        <v>13</v>
      </c>
      <c r="J35" s="793">
        <v>-50.0</v>
      </c>
      <c r="K35" s="815">
        <f t="shared" si="11"/>
        <v>0.603</v>
      </c>
      <c r="L35" s="869"/>
      <c r="M35" s="918" t="s">
        <v>13</v>
      </c>
      <c r="N35" s="793">
        <v>-50.0</v>
      </c>
      <c r="O35" s="919">
        <f t="shared" si="9"/>
        <v>0.0113</v>
      </c>
      <c r="P35" s="322"/>
      <c r="Q35" s="913">
        <v>0.2</v>
      </c>
      <c r="R35" s="920">
        <f>B20</f>
        <v>46.8</v>
      </c>
      <c r="S35" s="928">
        <v>1.3</v>
      </c>
      <c r="T35" s="928">
        <v>1.2</v>
      </c>
      <c r="V35" s="859"/>
      <c r="W35" s="881">
        <f t="shared" si="0"/>
        <v>0.24444444444445176</v>
      </c>
      <c r="X35" s="882">
        <f t="shared" si="10"/>
        <v>69.9111111111132</v>
      </c>
      <c r="AC35" s="859"/>
      <c r="AU35" s="323"/>
      <c r="AV35" s="934"/>
      <c r="AW35" s="323"/>
      <c r="AX35" s="580"/>
      <c r="AY35" s="323"/>
      <c r="AZ35" s="323"/>
      <c r="BA35" s="323"/>
    </row>
    <row r="36" spans="8:8" ht="13.5" customHeight="1">
      <c r="A36" s="886">
        <f t="shared" si="12" ref="A36:A43">A35-10</f>
        <v>70.0</v>
      </c>
      <c r="B36" s="886">
        <v>159.3</v>
      </c>
      <c r="C36" s="890">
        <v>0.3425</v>
      </c>
      <c r="D36" s="869"/>
      <c r="E36" s="852"/>
      <c r="H36" s="323"/>
      <c r="I36" s="918" t="s">
        <v>16</v>
      </c>
      <c r="J36" s="917">
        <f>$T$2</f>
        <v>0.95</v>
      </c>
      <c r="K36" s="808">
        <f>K30*(J36-J31)*(J36-J32)*(J36-J33)*(J36-J34)*(J36-J35)/((J30-J31)*(J30-J32)*(J30-J33)*(J30-J34)*(J30-J35))+K31*(J36-J30)*(J36-J32)*(J36-J33)*(J36-J34)*(J36-J35)/((J31-J30)*(J31-J32)*(J31-J33)*(J31-J34)*(J31-J35))+K32*(J36-J30)*(J36-J31)*(J36-J33)*(J36-J34)*(J36-J35)/((J32-J30)*(J32-J31)*(J32-J33)*(J32-J34)*(J32-J35))+K33*(J36-J30)*(J36-J31)*(J36-J32)*(J36-J34)*(J36-J35)/((J33-J30)*(J33-J31)*(J33-J32)*(J33-J34)*(J33-J35))+K34*(J36-J30)*(J36-J31)*(J36-J32)*(J36-J33)*(J36-J35)/((J34-J30)*(J34-J31)*(J34-J32)*(J34-J33)*(J34-J35))+K35*(J36-J30)*(J36-J31)*(J36-J32)*(J36-J33)*(J36-J34)/((J35-J30)*(J35-J31)*(J35-J32)*(J35-J33)*(J35-J34))</f>
        <v>-0.32864556910750764</v>
      </c>
      <c r="L36" s="869"/>
      <c r="M36" s="918" t="s">
        <v>16</v>
      </c>
      <c r="N36" s="917">
        <f>$T$2</f>
        <v>0.95</v>
      </c>
      <c r="O36" s="922">
        <f>O30*(N36-N31)*(N36-N32)*(N36-N33)*(N36-N34)*(N36-N35)/((N30-N31)*(N30-N32)*(N30-N33)*(N30-N34)*(N30-N35))+O31*(N36-N30)*(N36-N32)*(N36-N33)*(N36-N34)*(N36-N35)/((N31-N30)*(N31-N32)*(N31-N33)*(N31-N34)*(N31-N35))+O32*(N36-N30)*(N36-N31)*(N36-N33)*(N36-N34)*(N36-N35)/((N32-N30)*(N32-N31)*(N32-N33)*(N32-N34)*(N32-N35))+O33*(N36-N30)*(N36-N31)*(N36-N32)*(N36-N34)*(N36-N35)/((N33-N30)*(N33-N31)*(N33-N32)*(N33-N34)*(N33-N35))+O34*(N36-N30)*(N36-N31)*(N36-N32)*(N36-N33)*(N36-N35)/((N34-N30)*(N34-N31)*(N34-N32)*(N34-N33)*(N34-N35))+O35*(N36-N30)*(N36-N31)*(N36-N32)*(N36-N33)*(N36-N34)/((N35-N30)*(N35-N31)*(N35-N32)*(N35-N33)*(N35-N34))</f>
        <v>0.011401899999989862</v>
      </c>
      <c r="P36" s="322"/>
      <c r="Q36" s="913">
        <v>0.1</v>
      </c>
      <c r="R36" s="920">
        <f>B21</f>
        <v>25.4</v>
      </c>
      <c r="S36" s="928">
        <v>1.1</v>
      </c>
      <c r="T36" s="928">
        <v>1.0</v>
      </c>
      <c r="V36" s="859"/>
      <c r="W36" s="881">
        <f t="shared" si="0"/>
        <v>0.24722222222222978</v>
      </c>
      <c r="X36" s="882">
        <f t="shared" si="10"/>
        <v>70.70555555555772</v>
      </c>
      <c r="AC36" s="859"/>
    </row>
    <row r="37" spans="8:8" customHeight="1">
      <c r="A37" s="886">
        <f t="shared" si="12"/>
        <v>60.0</v>
      </c>
      <c r="B37" s="886">
        <v>132.6</v>
      </c>
      <c r="C37" s="890">
        <v>0.2446</v>
      </c>
      <c r="E37" s="852"/>
      <c r="H37" s="323"/>
      <c r="L37" s="869"/>
      <c r="M37" s="323"/>
      <c r="N37" s="323"/>
      <c r="O37" s="323"/>
      <c r="Q37" s="935">
        <v>0.0</v>
      </c>
      <c r="R37" s="920">
        <f>B22</f>
        <v>0.0</v>
      </c>
      <c r="S37" s="928">
        <v>0.9</v>
      </c>
      <c r="T37" s="928">
        <v>0.8</v>
      </c>
      <c r="V37" s="859"/>
      <c r="W37" s="867">
        <f t="shared" si="0"/>
        <v>0.25000000000000777</v>
      </c>
      <c r="X37" s="868">
        <f>$D$1*W37</f>
        <v>71.50000000000222</v>
      </c>
      <c r="AC37" s="859"/>
    </row>
    <row r="38" spans="8:8" ht="13.5" customHeight="1">
      <c r="A38" s="886">
        <f t="shared" si="12"/>
        <v>50.0</v>
      </c>
      <c r="B38" s="886">
        <v>108.8</v>
      </c>
      <c r="C38" s="890">
        <v>0.178</v>
      </c>
      <c r="F38" s="936" t="s">
        <v>248</v>
      </c>
      <c r="G38" s="937">
        <f>IF(AND($T$2&gt;E44,$T$2&lt;F44),M44*$G$35,IF(AND($T$2&gt;E46,$T$2&lt;F46),M46*$G$35,IF(AND($T$2&gt;E48,$T$2&lt;F48),$G$35*M48,IF(AND($T$2&gt;E50,$T$2&lt;F50),(M50*$G$35),IF(AND($T$2&gt;E52,$T$2&lt;F52),M52*$G$35,(M54*$G$35))))))</f>
        <v>0.012923599364967708</v>
      </c>
      <c r="I38" s="936" t="s">
        <v>249</v>
      </c>
      <c r="J38" s="937">
        <f>IF(AND($T$2&gt;E60,$T$2&lt;F60),M60*$G$35,IF(AND($T$2&gt;E62,$T$2&lt;F62),M62*$G$35,IF(AND($T$2&gt;E64,$T$2&lt;F64),$G$35*M64,IF(AND($T$2&gt;E66,$T$2&lt;F66),(M66*$G$35),IF(AND($T$2&gt;E68,$T$2&lt;F68),M68*$G$35,(M70*$G$35))))))</f>
        <v>-0.1783078655079383</v>
      </c>
      <c r="L38" s="869"/>
      <c r="M38" s="938"/>
      <c r="N38" s="938" t="s">
        <v>85</v>
      </c>
      <c r="O38" s="938">
        <f>IF($T$2&gt;(-25+0.0001),O28,O36)</f>
        <v>0.011401930268886215</v>
      </c>
      <c r="R38" s="925">
        <f>$M$10</f>
        <v>261.88</v>
      </c>
      <c r="S38" s="823">
        <f>S33*(R38-R34)*(R38-R35)*(R38-R36)*(R38-R37)/((R33-R34)*(R33-R35)*(R33-R36)*(R33-R37))+S34*(R38-R33)*(R38-R35)*(R38-R36)*(R38-R37)/((R34-R33)*(R34-R35)*(R34-R36)*(R34-R37))+S35*(R38-R33)*(R38-R34)*(R38-R36)*(R38-R37)/((R35-R33)*(R35-R34)*(R35-R36)*(R35-R37))+S36*(R38-R33)*(R38-R34)*(R38-R35)*(R38-R37)/((R36-R33)*(R36-R34)*(R36-R35)*(R36-R37))+S37*(R38-R33)*(R38-R34)*(R38-R35)*(R38-R36)/((R37-R33)*(R37-R34)*(R37-R35)*(R37-R36))</f>
        <v>-1.1902421207559826</v>
      </c>
      <c r="T38" s="823">
        <f>T33*(R38-R34)*(R38-R35)*(R38-R36)*(R38-R37)/((R33-R34)*(R33-R35)*(R33-R36)*(R33-R37))+T34*(R38-R33)*(R38-R35)*(R38-R36)*(R38-R37)/((R34-R33)*(R34-R35)*(R34-R36)*(R34-R37))+T35*(R38-R33)*(R38-R34)*(R38-R36)*(R38-R37)/((R35-R33)*(R35-R34)*(R35-R36)*(R35-R37))+T36*(R38-R33)*(R38-R34)*(R38-R35)*(R38-R37)/((R36-R33)*(R36-R34)*(R36-R35)*(R36-R37))+T37*(R38-R33)*(R38-R34)*(R38-R35)*(R38-R36)/((R37-R33)*(R37-R34)*(R37-R35)*(R37-R36))</f>
        <v>87.906550124429</v>
      </c>
      <c r="V38" s="859"/>
      <c r="W38" s="881">
        <f t="shared" si="0"/>
        <v>0.25277777777778576</v>
      </c>
      <c r="X38" s="882">
        <f>$D$1*W38</f>
        <v>72.29444444444673</v>
      </c>
    </row>
    <row r="39" spans="8:8" ht="13.5" customHeight="1">
      <c r="A39" s="886">
        <f t="shared" si="12"/>
        <v>40.0</v>
      </c>
      <c r="B39" s="886">
        <v>87.2</v>
      </c>
      <c r="C39" s="890">
        <v>0.1308</v>
      </c>
      <c r="F39" s="936" t="s">
        <v>250</v>
      </c>
      <c r="G39" s="937" t="b">
        <f>IF(AND($T$2&lt;E76,$T$2&gt;F76),($O$38*M76),IF(AND($T$2&lt;E78,$T$2&gt;F78),($O$38*M78),IF(AND($T$2&lt;E80,$T$2&gt;F80),($O$38*M80),IF(AND($T$2&lt;E82,$T$2&gt;F82),($O$38*M82),IF(AND($T$2&lt;E84,$T$2&gt;F84),(($O$38*M84)))))))</f>
        <v>0</v>
      </c>
      <c r="I39" s="936" t="s">
        <v>251</v>
      </c>
      <c r="J39" s="937" t="b">
        <f>IF(AND($T$2&lt;E90,$T$2&gt;F90),($O$38*M90),IF(AND($T$2&lt;E92,$T$2&gt;F92),($O$38*M92),IF(AND($T$2&lt;E94,$T$2&gt;F94),($O$38*M94),IF(AND($T$2&lt;E96,$T$2&gt;F96),($O$38*M96),IF(AND($T$2&lt;E98,$T$2&gt;F98),(($O$38*M98)))))))</f>
        <v>0</v>
      </c>
      <c r="L39" s="869"/>
      <c r="M39" s="869"/>
      <c r="V39" s="859"/>
      <c r="W39" s="881">
        <f t="shared" si="0"/>
        <v>0.25555555555556375</v>
      </c>
      <c r="X39" s="882">
        <f t="shared" si="13" ref="X39:X45">$D$1*W39</f>
        <v>73.08888888889123</v>
      </c>
    </row>
    <row r="40" spans="8:8" ht="13.5" customHeight="1">
      <c r="A40" s="905">
        <f t="shared" si="12"/>
        <v>30.0</v>
      </c>
      <c r="B40" s="905">
        <v>66.8</v>
      </c>
      <c r="C40" s="906">
        <v>0.0896</v>
      </c>
      <c r="V40" s="859"/>
      <c r="W40" s="881">
        <f t="shared" si="0"/>
        <v>0.25833333333334174</v>
      </c>
      <c r="X40" s="882">
        <f t="shared" si="13"/>
        <v>73.88333333333574</v>
      </c>
    </row>
    <row r="41" spans="8:8" customHeight="1">
      <c r="A41" s="905">
        <f t="shared" si="12"/>
        <v>20.0</v>
      </c>
      <c r="B41" s="905">
        <v>46.8</v>
      </c>
      <c r="C41" s="906">
        <v>0.0702</v>
      </c>
      <c r="I41" s="939" t="s">
        <v>208</v>
      </c>
      <c r="M41" s="940"/>
      <c r="Q41" s="745" t="s">
        <v>148</v>
      </c>
      <c r="R41" s="745" t="s">
        <v>150</v>
      </c>
      <c r="S41" s="745" t="s">
        <v>212</v>
      </c>
      <c r="V41" s="859"/>
      <c r="W41" s="881">
        <f t="shared" si="0"/>
        <v>0.2611111111111198</v>
      </c>
      <c r="X41" s="882">
        <f t="shared" si="13"/>
        <v>74.67777777778026</v>
      </c>
    </row>
    <row r="42" spans="8:8" customHeight="1">
      <c r="A42" s="905">
        <f t="shared" si="12"/>
        <v>10.0</v>
      </c>
      <c r="B42" s="905">
        <v>25.4</v>
      </c>
      <c r="C42" s="906">
        <v>0.0315</v>
      </c>
      <c r="E42" s="941" t="s">
        <v>209</v>
      </c>
      <c r="F42" s="941"/>
      <c r="G42" s="913">
        <v>1.0</v>
      </c>
      <c r="H42" s="913">
        <v>0.95</v>
      </c>
      <c r="I42" s="913">
        <v>0.9</v>
      </c>
      <c r="J42" s="913">
        <v>0.85</v>
      </c>
      <c r="K42" s="913">
        <v>0.8</v>
      </c>
      <c r="L42" s="913">
        <v>0.7</v>
      </c>
      <c r="M42" s="942" t="s">
        <v>210</v>
      </c>
      <c r="Q42" s="943" t="s">
        <v>217</v>
      </c>
      <c r="R42" s="944">
        <f>B22</f>
        <v>0.0</v>
      </c>
      <c r="S42" s="945">
        <f>30*($J$13-B20)*($J$13-B21)*($J$13-B22)/((B19-B20)*(B19-B21)*(B19-B22))+20*($J$13-B19)*($J$13-B21)*($J$13-B22)/((B20-B19)*(B20-B21)*(B20-B22))+10*($J$13-B19)*($J$13-B20)*($J$13-B22)/((B21-B19)*(B21-B20)*(B21-B22))+0*($J$13-B19)*($J$13-B20)*($J$13-B21)/((B22-B19)*(B22-B20)*(B22-B21))</f>
        <v>46.2048529366948</v>
      </c>
      <c r="V42" s="859"/>
      <c r="W42" s="881">
        <f t="shared" si="0"/>
        <v>0.2638888888888978</v>
      </c>
      <c r="X42" s="882">
        <f t="shared" si="13"/>
        <v>75.47222222222476</v>
      </c>
    </row>
    <row r="43" spans="8:8" customHeight="1">
      <c r="A43" s="905">
        <f t="shared" si="12"/>
        <v>0.0</v>
      </c>
      <c r="B43" s="905">
        <v>0.0</v>
      </c>
      <c r="C43" s="906">
        <v>0.0</v>
      </c>
      <c r="E43" s="941"/>
      <c r="F43" s="941"/>
      <c r="G43" s="946">
        <v>1.0</v>
      </c>
      <c r="H43" s="946">
        <v>2.0</v>
      </c>
      <c r="I43" s="946">
        <v>3.0</v>
      </c>
      <c r="J43" s="946">
        <v>4.0</v>
      </c>
      <c r="K43" s="946">
        <v>5.0</v>
      </c>
      <c r="L43" s="944">
        <v>6.0</v>
      </c>
      <c r="M43" s="947"/>
      <c r="O43" s="859"/>
      <c r="Q43" s="943" t="s">
        <v>216</v>
      </c>
      <c r="R43" s="944">
        <f>B19</f>
        <v>66.8</v>
      </c>
      <c r="S43" s="945">
        <f>50*($J$13-B18)*($J$13-B19)*($J$13-B20)/((B17-B18)*(B17-B19)*(B17-B20))+40*($J$13-B17)*($J$13-B19)*($J$13-B20)/((B18-B17)*(B18-B19)*(B18-B20))+30*($J$13-B17)*($J$13-B18)*($J$13-B20)/((B19-B17)*(B19-B18)*(B19-B20))+20*($J$13-B17)*($J$13-B18)*($J$13-B19)/((B20-B17)*(B20-B18)*(B20-B19))</f>
        <v>70.12150808495994</v>
      </c>
      <c r="T43" s="859"/>
      <c r="U43" s="859"/>
      <c r="V43" s="859"/>
      <c r="W43" s="881">
        <f t="shared" si="0"/>
        <v>0.26666666666667577</v>
      </c>
      <c r="X43" s="882">
        <f t="shared" si="13"/>
        <v>76.26666666666927</v>
      </c>
    </row>
    <row r="44" spans="8:8" customHeight="1">
      <c r="E44" s="948">
        <v>-0.9</v>
      </c>
      <c r="F44" s="948">
        <v>4.0</v>
      </c>
      <c r="G44" s="948">
        <v>1.02</v>
      </c>
      <c r="H44" s="948">
        <v>1.0</v>
      </c>
      <c r="I44" s="948">
        <v>0.95</v>
      </c>
      <c r="J44" s="948">
        <v>0.93</v>
      </c>
      <c r="K44" s="948">
        <v>0.91</v>
      </c>
      <c r="L44" s="948">
        <v>0.87</v>
      </c>
      <c r="M44" s="949">
        <f>G44*($M$10-$B$10)*($M$10-$B$12)*($M$10-$B$13)*($M$10-$B$14)*($M$10-$B$15)/(($B$8-$B$10)*($B$8-$B$12)*($B$8-$B$13)*($B$8-$B$14)*($B$8-$B$15))+H44*($M$10-$B$8)*($M$10-$B$12)*($M$10-$B$13)*($M$10-$B$14)*($M$10-$B$15)/(($B$10-$B$8)*($B$10-$B$12)*($B$10-$B$13)*($B$10-$B$14)*($B$10-$B$15))+I44*($M$10-$B$8)*($M$10-$B$10)*($M$10-$B$13)*($M$10-$B$14)*($M$10-$B$15)/(($B$12-$B$8)*($B$12-$B$10)*($B$12-$B$13)*($B$12-$B$14)*($B$12-$B$15))+J44*($M$10-$B$8)*($M$10-$B$10)*($M$10-$B$12)*($M$10-$B$14)*($M$10-$B$15)/(($B$13-$B$8)*($B$13-$B$10)*($B$13-$B$12)*($B$13-$B$14)*($B$13-$B$15))+K44*($M$10-$B$8)*($M$10-$B$10)*($M$10-$B$12)*($M$10-$B$13)*($M$10-$B$15)/(($B$14-$B$8)*($B$14-$B$10)*($B$14-$B$12)*($B$14-$B$13)*($B$14-$B$15))+L44*($M$10-$B$8)*($M$10-$B$10)*($M$10-$B$12)*($M$10-$B$13)*($M$10-$B$14)/(($B$15-$B$8)*($B$15-$B$10)*($B$15-$B$12)*($B$15-$B$13)*($B$15-$B$14))</f>
        <v>0.982219475444557</v>
      </c>
      <c r="O44" s="859"/>
      <c r="Q44" s="943" t="s">
        <v>215</v>
      </c>
      <c r="R44" s="944">
        <f>B17</f>
        <v>108.8</v>
      </c>
      <c r="S44" s="945">
        <f>70*($J$13-B16)*($J$13-B17)*($J$13-B18)/((B15-B16)*(B15-B17)*(B15-B18))+60*($J$13-B15)*($J$13-B17)*($J$13-B18)/((B16-B15)*(B16-B17)*(B16-B18))+50*($J$13-B15)*($J$13-B16)*($J$13-B18)/((B17-B15)*(B17-B16)*(B17-B18))+40*($J$13-B15)*($J$13-B16)*($J$13-B17)/((B18-B15)*(B18-B16)*(B18-B17))</f>
        <v>97.11198902911997</v>
      </c>
      <c r="T44" s="859"/>
      <c r="U44" s="859"/>
      <c r="V44" s="859"/>
      <c r="W44" s="881">
        <f t="shared" si="0"/>
        <v>0.26944444444445376</v>
      </c>
      <c r="X44" s="882">
        <f t="shared" si="13"/>
        <v>77.06111111111377</v>
      </c>
    </row>
    <row r="45" spans="8:8" customHeight="1">
      <c r="E45" s="948"/>
      <c r="F45" s="948"/>
      <c r="G45" s="948"/>
      <c r="H45" s="948"/>
      <c r="I45" s="948"/>
      <c r="J45" s="948"/>
      <c r="K45" s="948"/>
      <c r="L45" s="948"/>
      <c r="M45" s="949"/>
      <c r="O45" s="859"/>
      <c r="Q45" s="943" t="s">
        <v>214</v>
      </c>
      <c r="R45" s="944">
        <f>B15</f>
        <v>159.3</v>
      </c>
      <c r="S45" s="945">
        <f>90*($J$13-B14)*($J$13-B15)*($J$13-B16)/((B12-B14)*(B12-B15)*(B12-B16))+80*($J$13-B12)*($J$13-B15)*($J$13-B16)/((B14-B12)*(B14-B15)*(B14-B16))+70*($J$13-B12)*($J$13-B14)*($J$13-B16)/((B15-B12)*(B15-B14)*(B15-B16))+60*($J$13-B12)*($J$13-B14)*($J$13-B15)/((B16-B12)*(B16-B14)*(B16-B15))</f>
        <v>101.338839821871</v>
      </c>
      <c r="T45" s="859"/>
      <c r="U45" s="859"/>
      <c r="V45" s="859"/>
      <c r="W45" s="881">
        <f t="shared" si="0"/>
        <v>0.27222222222223175</v>
      </c>
      <c r="X45" s="882">
        <f t="shared" si="13"/>
        <v>77.85555555555828</v>
      </c>
    </row>
    <row r="46" spans="8:8" customHeight="1">
      <c r="E46" s="948">
        <f>F44-0.001</f>
        <v>3.999</v>
      </c>
      <c r="F46" s="948">
        <v>7.0</v>
      </c>
      <c r="G46" s="948">
        <v>1.02</v>
      </c>
      <c r="H46" s="948">
        <v>1.0</v>
      </c>
      <c r="I46" s="948">
        <v>0.96</v>
      </c>
      <c r="J46" s="948">
        <v>0.94</v>
      </c>
      <c r="K46" s="948">
        <v>0.92</v>
      </c>
      <c r="L46" s="948">
        <v>0.88</v>
      </c>
      <c r="M46" s="949">
        <f>G46*($M$10-$B$10)*($M$10-$B$12)*($M$10-$B$13)*($M$10-$B$14)*($M$10-$B$15)/(($B$8-$B$10)*($B$8-$B$12)*($B$8-$B$13)*($B$8-$B$14)*($B$8-$B$15))+H46*($M$10-$B$8)*($M$10-$B$12)*($M$10-$B$13)*($M$10-$B$14)*($M$10-$B$15)/(($B$10-$B$8)*($B$10-$B$12)*($B$10-$B$13)*($B$10-$B$14)*($B$10-$B$15))+I46*($M$10-$B$8)*($M$10-$B$10)*($M$10-$B$13)*($M$10-$B$14)*($M$10-$B$15)/(($B$12-$B$8)*($B$12-$B$10)*($B$12-$B$13)*($B$12-$B$14)*($B$12-$B$15))+J46*($M$10-$B$8)*($M$10-$B$10)*($M$10-$B$12)*($M$10-$B$14)*($M$10-$B$15)/(($B$13-$B$8)*($B$13-$B$10)*($B$13-$B$12)*($B$13-$B$14)*($B$13-$B$15))+K46*($M$10-$B$8)*($M$10-$B$10)*($M$10-$B$12)*($M$10-$B$13)*($M$10-$B$15)/(($B$14-$B$8)*($B$14-$B$10)*($B$14-$B$12)*($B$14-$B$13)*($B$14-$B$15))+L46*($M$10-$B$8)*($M$10-$B$10)*($M$10-$B$12)*($M$10-$B$13)*($M$10-$B$14)/(($B$15-$B$8)*($B$15-$B$10)*($B$15-$B$12)*($B$15-$B$13)*($B$15-$B$14))</f>
        <v>0.9971947717798781</v>
      </c>
      <c r="O46" s="859"/>
      <c r="Q46" s="950" t="s">
        <v>311</v>
      </c>
      <c r="R46" s="951">
        <f>B14</f>
        <v>189.45</v>
      </c>
      <c r="S46" s="952">
        <f>100*($J$13-B10)*($J$13-B12)*($J$13-B13)*($J$13-B14)/((B8-B10)*(B8-B12)*(B8-B13)*(B8-B14))+95*($J$13-B8)*($J$13-B12)*($J$13-B13)*($J$13-B14)/((B10-B8)*(B10-B12)*(B10-B13)*(B10-B14))+90*($J$13-B8)*($J$13-B10)*($J$13-B13)*($J$13-B14)/((B12-B8)*(B12-B10)*(B12-B13)*(B12-B14))+85*($J$13-B8)*($J$13-B10)*($J$13-B12)*($J$13-B14)/((B13-B8)*(B13-B10)*(B13-B12)*(B13-B14))+80*($J$13-B8)*($J$13-B10)*($J$13-B12)*($J$13-B13)/((B14-B8)*(B14-B10)*(B14-B12)*(B14-B13))</f>
        <v>101.11089728054456</v>
      </c>
      <c r="T46" s="869"/>
      <c r="U46" s="859"/>
      <c r="V46" s="859"/>
      <c r="W46" s="867">
        <f t="shared" si="0"/>
        <v>0.2750000000000098</v>
      </c>
      <c r="X46" s="868">
        <f>$D$1*W46</f>
        <v>78.6500000000028</v>
      </c>
    </row>
    <row r="47" spans="8:8" customHeight="1">
      <c r="E47" s="948"/>
      <c r="F47" s="948"/>
      <c r="G47" s="948"/>
      <c r="H47" s="948"/>
      <c r="I47" s="948"/>
      <c r="J47" s="948"/>
      <c r="K47" s="948"/>
      <c r="L47" s="948"/>
      <c r="M47" s="949"/>
      <c r="Q47" s="950" t="s">
        <v>213</v>
      </c>
      <c r="R47" s="953">
        <f>B11</f>
        <v>230.35</v>
      </c>
      <c r="S47" s="952">
        <f>100*($J$13-B9)*($J$13-B10)*($J$13-B11)/((B8-B9)*(B8-B10)*(B8-B11))+97.5*($J$13-B8)*($J$13-B10)*($J$13-B11)/((B9-B8)*(B9-B10)*(B9-B11))+95*($J$13-B8)*($J$13-B9)*($J$13-B11)/((B10-B8)*(B10-B9)*(B10-B11))+92.5*($J$13-B8)*($J$13-B9)*($J$13-B10)/((B11-B8)*(B11-B9)*(B11-B10))</f>
        <v>101.0421999716167</v>
      </c>
      <c r="T47" s="869"/>
      <c r="U47" s="859"/>
      <c r="V47" s="859"/>
      <c r="W47" s="881">
        <f t="shared" si="0"/>
        <v>0.2777777777777878</v>
      </c>
      <c r="X47" s="882">
        <f>$D$1*W47</f>
        <v>79.4444444444473</v>
      </c>
    </row>
    <row r="48" spans="8:8" customHeight="1">
      <c r="E48" s="948">
        <f t="shared" si="14" ref="E48">F46-0.001</f>
        <v>6.999</v>
      </c>
      <c r="F48" s="948">
        <v>10.0</v>
      </c>
      <c r="G48" s="948">
        <v>1.02</v>
      </c>
      <c r="H48" s="948">
        <v>1.0</v>
      </c>
      <c r="I48" s="948">
        <v>0.97</v>
      </c>
      <c r="J48" s="948">
        <v>0.95</v>
      </c>
      <c r="K48" s="948">
        <v>0.93</v>
      </c>
      <c r="L48" s="948">
        <v>0.89</v>
      </c>
      <c r="M48" s="949">
        <f>G48*($M$10-$B$10)*($M$10-$B$12)*($M$10-$B$13)*($M$10-$B$14)*($M$10-$B$15)/(($B$8-$B$10)*($B$8-$B$12)*($B$8-$B$13)*($B$8-$B$14)*($B$8-$B$15))+H48*($M$10-$B$8)*($M$10-$B$12)*($M$10-$B$13)*($M$10-$B$14)*($M$10-$B$15)/(($B$10-$B$8)*($B$10-$B$12)*($B$10-$B$13)*($B$10-$B$14)*($B$10-$B$15))+I48*($M$10-$B$8)*($M$10-$B$10)*($M$10-$B$13)*($M$10-$B$14)*($M$10-$B$15)/(($B$12-$B$8)*($B$12-$B$10)*($B$12-$B$13)*($B$12-$B$14)*($B$12-$B$15))+J48*($M$10-$B$8)*($M$10-$B$10)*($M$10-$B$12)*($M$10-$B$14)*($M$10-$B$15)/(($B$13-$B$8)*($B$13-$B$10)*($B$13-$B$12)*($B$13-$B$14)*($B$13-$B$15))+K48*($M$10-$B$8)*($M$10-$B$10)*($M$10-$B$12)*($M$10-$B$13)*($M$10-$B$15)/(($B$14-$B$8)*($B$14-$B$10)*($B$14-$B$12)*($B$14-$B$13)*($B$14-$B$15))+L48*($M$10-$B$8)*($M$10-$B$10)*($M$10-$B$12)*($M$10-$B$13)*($M$10-$B$14)/(($B$15-$B$8)*($B$15-$B$10)*($B$15-$B$12)*($B$15-$B$13)*($B$15-$B$14))</f>
        <v>1.0121700681151893</v>
      </c>
      <c r="R48" s="954">
        <f>J13</f>
        <v>259.7054317201594</v>
      </c>
      <c r="S48" s="955">
        <f>VLOOKUP(R48,R42:S47,2)</f>
        <v>101.0421999716167</v>
      </c>
      <c r="T48" s="869"/>
      <c r="U48" s="859"/>
      <c r="W48" s="881">
        <f t="shared" si="0"/>
        <v>0.28055555555556577</v>
      </c>
      <c r="X48" s="882">
        <f t="shared" si="15" ref="X48:X53">$D$1*W48</f>
        <v>80.23888888889181</v>
      </c>
    </row>
    <row r="49" spans="8:8" ht="13.5" customHeight="1">
      <c r="E49" s="948"/>
      <c r="F49" s="948"/>
      <c r="G49" s="948"/>
      <c r="H49" s="948"/>
      <c r="I49" s="948"/>
      <c r="J49" s="948"/>
      <c r="K49" s="948"/>
      <c r="L49" s="948"/>
      <c r="M49" s="949"/>
      <c r="N49" s="940"/>
      <c r="P49" s="956"/>
      <c r="Q49" s="956"/>
      <c r="R49" s="956"/>
      <c r="T49" s="869"/>
      <c r="W49" s="881">
        <f t="shared" si="0"/>
        <v>0.28333333333334376</v>
      </c>
      <c r="X49" s="882">
        <f t="shared" si="15"/>
        <v>81.03333333333632</v>
      </c>
    </row>
    <row r="50" spans="8:8" customHeight="1">
      <c r="E50" s="948">
        <f t="shared" si="16" ref="E50">F48-0.001</f>
        <v>9.999</v>
      </c>
      <c r="F50" s="948">
        <v>14.0</v>
      </c>
      <c r="G50" s="948">
        <v>1.02</v>
      </c>
      <c r="H50" s="948">
        <v>1.0</v>
      </c>
      <c r="I50" s="948">
        <v>0.98</v>
      </c>
      <c r="J50" s="948">
        <v>0.96</v>
      </c>
      <c r="K50" s="948">
        <v>0.94</v>
      </c>
      <c r="L50" s="948">
        <v>0.9</v>
      </c>
      <c r="M50" s="949">
        <f>G50*($M$10-$B$10)*($M$10-$B$12)*($M$10-$B$13)*($M$10-$B$14)*($M$10-$B$15)/(($B$8-$B$10)*($B$8-$B$12)*($B$8-$B$13)*($B$8-$B$14)*($B$8-$B$15))+H50*($M$10-$B$8)*($M$10-$B$12)*($M$10-$B$13)*($M$10-$B$14)*($M$10-$B$15)/(($B$10-$B$8)*($B$10-$B$12)*($B$10-$B$13)*($B$10-$B$14)*($B$10-$B$15))+I50*($M$10-$B$8)*($M$10-$B$10)*($M$10-$B$13)*($M$10-$B$14)*($M$10-$B$15)/(($B$12-$B$8)*($B$12-$B$10)*($B$12-$B$13)*($B$12-$B$14)*($B$12-$B$15))+J50*($M$10-$B$8)*($M$10-$B$10)*($M$10-$B$12)*($M$10-$B$14)*($M$10-$B$15)/(($B$13-$B$8)*($B$13-$B$10)*($B$13-$B$12)*($B$13-$B$14)*($B$13-$B$15))+K50*($M$10-$B$8)*($M$10-$B$10)*($M$10-$B$12)*($M$10-$B$13)*($M$10-$B$15)/(($B$14-$B$8)*($B$14-$B$10)*($B$14-$B$12)*($B$14-$B$13)*($B$14-$B$15))+L50*($M$10-$B$8)*($M$10-$B$10)*($M$10-$B$12)*($M$10-$B$13)*($M$10-$B$14)/(($B$15-$B$8)*($B$15-$B$10)*($B$15-$B$12)*($B$15-$B$13)*($B$15-$B$14))</f>
        <v>1.0271453644505104</v>
      </c>
      <c r="N50" s="940"/>
      <c r="P50" s="956"/>
      <c r="Q50" s="956"/>
      <c r="R50" s="956"/>
      <c r="S50" s="956"/>
      <c r="T50" s="869"/>
      <c r="W50" s="881">
        <f t="shared" si="0"/>
        <v>0.28611111111112175</v>
      </c>
      <c r="X50" s="882">
        <f t="shared" si="15"/>
        <v>81.82777777778082</v>
      </c>
    </row>
    <row r="51" spans="8:8" customHeight="1">
      <c r="E51" s="948"/>
      <c r="F51" s="948"/>
      <c r="G51" s="948"/>
      <c r="H51" s="948"/>
      <c r="I51" s="948"/>
      <c r="J51" s="948"/>
      <c r="K51" s="948"/>
      <c r="L51" s="948"/>
      <c r="M51" s="949"/>
      <c r="N51" s="940"/>
      <c r="P51" s="956"/>
      <c r="Q51" s="745" t="s">
        <v>148</v>
      </c>
      <c r="R51" s="745" t="s">
        <v>150</v>
      </c>
      <c r="S51" s="745" t="s">
        <v>218</v>
      </c>
      <c r="T51" s="869"/>
      <c r="W51" s="881">
        <f t="shared" si="0"/>
        <v>0.28888888888889974</v>
      </c>
      <c r="X51" s="882">
        <f t="shared" si="15"/>
        <v>82.62222222222533</v>
      </c>
    </row>
    <row r="52" spans="8:8" customHeight="1">
      <c r="E52" s="948">
        <f t="shared" si="17" ref="E52">F50-0.001</f>
        <v>13.999</v>
      </c>
      <c r="F52" s="948">
        <v>18.0</v>
      </c>
      <c r="G52" s="948">
        <v>1.03</v>
      </c>
      <c r="H52" s="948">
        <v>1.01</v>
      </c>
      <c r="I52" s="948">
        <v>0.99</v>
      </c>
      <c r="J52" s="948">
        <v>0.97</v>
      </c>
      <c r="K52" s="948">
        <v>0.95</v>
      </c>
      <c r="L52" s="948">
        <v>0.91</v>
      </c>
      <c r="M52" s="949">
        <f>G52*($M$10-$B$10)*($M$10-$B$12)*($M$10-$B$13)*($M$10-$B$14)*($M$10-$B$15)/(($B$8-$B$10)*($B$8-$B$12)*($B$8-$B$13)*($B$8-$B$14)*($B$8-$B$15))+H52*($M$10-$B$8)*($M$10-$B$12)*($M$10-$B$13)*($M$10-$B$14)*($M$10-$B$15)/(($B$10-$B$8)*($B$10-$B$12)*($B$10-$B$13)*($B$10-$B$14)*($B$10-$B$15))+I52*($M$10-$B$8)*($M$10-$B$10)*($M$10-$B$13)*($M$10-$B$14)*($M$10-$B$15)/(($B$12-$B$8)*($B$12-$B$10)*($B$12-$B$13)*($B$12-$B$14)*($B$12-$B$15))+J52*($M$10-$B$8)*($M$10-$B$10)*($M$10-$B$12)*($M$10-$B$14)*($M$10-$B$15)/(($B$13-$B$8)*($B$13-$B$10)*($B$13-$B$12)*($B$13-$B$14)*($B$13-$B$15))+K52*($M$10-$B$8)*($M$10-$B$10)*($M$10-$B$12)*($M$10-$B$13)*($M$10-$B$15)/(($B$14-$B$8)*($B$14-$B$10)*($B$14-$B$12)*($B$14-$B$13)*($B$14-$B$15))+L52*($M$10-$B$8)*($M$10-$B$10)*($M$10-$B$12)*($M$10-$B$13)*($M$10-$B$14)/(($B$15-$B$8)*($B$15-$B$10)*($B$15-$B$12)*($B$15-$B$13)*($B$15-$B$14))</f>
        <v>1.0371453644505115</v>
      </c>
      <c r="N52" s="940"/>
      <c r="P52" s="956"/>
      <c r="Q52" s="943" t="s">
        <v>217</v>
      </c>
      <c r="R52" s="953">
        <f t="shared" si="18" ref="R52:R57">R42</f>
        <v>0.0</v>
      </c>
      <c r="S52" s="945">
        <f>30*($J$14-B20)*($J$14-B21)*($J$14-B22)/((B19-B20)*(B19-B21)*(B19-B22))+20*($J$14-B19)*($J$14-B21)*($J$14-B22)/((B20-B19)*(B20-B21)*(B20-B22))+10*($J$14-B19)*($J$14-B20)*($J$14-B22)/((B21-B19)*(B21-B20)*(B21-B22))+0*($J$14-B19)*($J$14-B20)*($J$14-B21)/((B22-B19)*(B22-B20)*(B22-B21))</f>
        <v>41.0799702345466</v>
      </c>
      <c r="T52" s="869"/>
      <c r="W52" s="881">
        <f t="shared" si="0"/>
        <v>0.2916666666666778</v>
      </c>
      <c r="X52" s="882">
        <f t="shared" si="15"/>
        <v>83.41666666666984</v>
      </c>
    </row>
    <row r="53" spans="8:8" ht="13.5" customHeight="1">
      <c r="D53" s="956"/>
      <c r="E53" s="948"/>
      <c r="F53" s="948"/>
      <c r="G53" s="948"/>
      <c r="H53" s="948"/>
      <c r="I53" s="948"/>
      <c r="J53" s="948"/>
      <c r="K53" s="948"/>
      <c r="L53" s="948"/>
      <c r="M53" s="949"/>
      <c r="N53" s="940"/>
      <c r="P53" s="859"/>
      <c r="Q53" s="943" t="s">
        <v>216</v>
      </c>
      <c r="R53" s="953">
        <f t="shared" si="18"/>
        <v>66.8</v>
      </c>
      <c r="S53" s="945">
        <f>50*($J$14-B18)*($J$14-B19)*($J$14-B20)/((B17-B18)*(B17-B19)*(B17-B20))+40*($J$14-B17)*($J$14-B19)*($J$14-B20)/((B18-B17)*(B18-B19)*(B18-B20))+30*($J$14-B17)*($J$14-B18)*($J$14-B20)/((B19-B17)*(B19-B18)*(B19-B20))+20*($J$14-B17)*($J$14-B18)*($J$14-B19)/((B20-B17)*(B20-B18)*(B20-B19))</f>
        <v>67.91888172729978</v>
      </c>
      <c r="T53" s="869"/>
      <c r="W53" s="881">
        <f t="shared" si="0"/>
        <v>0.2944444444444558</v>
      </c>
      <c r="X53" s="882">
        <f t="shared" si="15"/>
        <v>84.21111111111435</v>
      </c>
    </row>
    <row r="54" spans="8:8" ht="13.5" customHeight="1">
      <c r="D54" s="956"/>
      <c r="E54" s="948">
        <f t="shared" si="19" ref="E54">F52-0.001</f>
        <v>17.999</v>
      </c>
      <c r="F54" s="948">
        <v>30.0</v>
      </c>
      <c r="G54" s="957"/>
      <c r="H54" s="957"/>
      <c r="I54" s="957"/>
      <c r="J54" s="957"/>
      <c r="K54" s="957"/>
      <c r="L54" s="957"/>
      <c r="M54" s="958">
        <f>M52*1.0075</f>
        <v>1.0449239546838904</v>
      </c>
      <c r="N54" s="407"/>
      <c r="P54" s="859"/>
      <c r="Q54" s="943" t="s">
        <v>215</v>
      </c>
      <c r="R54" s="953">
        <f t="shared" si="18"/>
        <v>108.8</v>
      </c>
      <c r="S54" s="945">
        <f>70*($J$14-B16)*($J$14-B17)*($J$14-B18)/((B15-B16)*(B15-B17)*(B15-B18))+60*($J$14-B15)*($J$14-B17)*($J$14-B18)/((B16-B15)*(B16-B17)*(B16-B18))+50*($J$14-B15)*($J$14-B16)*($J$14-B18)/((B17-B15)*(B17-B16)*(B17-B18))+40*($J$14-B15)*($J$14-B16)*($J$14-B17)/((B18-B15)*(B18-B16)*(B18-B17))</f>
        <v>98.30457335349001</v>
      </c>
      <c r="T54" s="869"/>
      <c r="W54" s="881">
        <f t="shared" si="0"/>
        <v>0.29722222222223377</v>
      </c>
      <c r="X54" s="882">
        <f>$D$1*W54</f>
        <v>85.00555555555886</v>
      </c>
    </row>
    <row r="55" spans="8:8" customHeight="1">
      <c r="D55" s="869"/>
      <c r="E55" s="948"/>
      <c r="F55" s="948"/>
      <c r="G55" s="957"/>
      <c r="H55" s="957"/>
      <c r="I55" s="957"/>
      <c r="J55" s="957"/>
      <c r="K55" s="957"/>
      <c r="L55" s="957"/>
      <c r="M55" s="958"/>
      <c r="N55" s="940"/>
      <c r="P55" s="859"/>
      <c r="Q55" s="943" t="s">
        <v>214</v>
      </c>
      <c r="R55" s="953">
        <f t="shared" si="18"/>
        <v>159.3</v>
      </c>
      <c r="S55" s="945">
        <f>90*($J$14-B14)*($J$14-B15)*($J$14-B16)/((B12-B14)*(B12-B15)*(B12-B16))+80*($J$14-B12)*($J$14-B15)*($J$14-B16)/((B14-B12)*(B14-B15)*(B14-B16))+70*($J$14-B12)*($J$14-B14)*($J$14-B16)/((B15-B12)*(B15-B14)*(B15-B16))+60*($J$14-B12)*($J$14-B14)*($J$14-B15)/((B16-B12)*(B16-B14)*(B16-B15))</f>
        <v>103.30341208681901</v>
      </c>
      <c r="T55" s="869"/>
      <c r="W55" s="867">
        <f t="shared" si="0"/>
        <v>0.30000000000001176</v>
      </c>
      <c r="X55" s="868">
        <f>$D$1*W55</f>
        <v>85.80000000000337</v>
      </c>
    </row>
    <row r="56" spans="8:8" customHeight="1">
      <c r="D56" s="869"/>
      <c r="E56" s="852"/>
      <c r="P56" s="859"/>
      <c r="Q56" s="943" t="s">
        <v>311</v>
      </c>
      <c r="R56" s="953">
        <f t="shared" si="18"/>
        <v>189.45</v>
      </c>
      <c r="S56" s="952">
        <f>100*($J$14-B10)*($J$14-B12)*($J$14-B13)*($J$14-B14)/((B8-B10)*(B8-B12)*(B8-B13)*(B8-B14))+95*($J$14-B8)*($J$14-B12)*($J$14-B13)*($J$14-B14)/((B10-B8)*(B10-B12)*(B10-B13)*(B10-B14))+90*($J$14-B8)*($J$14-B10)*($J$14-B13)*($J$14-B14)/((B12-B8)*(B12-B10)*(B12-B13)*(B12-B14))+85*($J$14-B8)*($J$14-B10)*($J$14-B12)*($J$14-B14)/((B13-B8)*(B13-B10)*(B13-B12)*(B13-B14))+80*($J$14-B8)*($J$14-B10)*($J$14-B12)*($J$14-B13)/((B14-B8)*(B14-B10)*(B14-B12)*(B14-B13))</f>
        <v>103.0552142296783</v>
      </c>
      <c r="T56" s="869"/>
      <c r="W56" s="881">
        <f t="shared" si="0"/>
        <v>0.30277777777778975</v>
      </c>
      <c r="X56" s="882">
        <f>$D$1*W56</f>
        <v>86.59444444444787</v>
      </c>
    </row>
    <row r="57" spans="8:8" customHeight="1">
      <c r="D57" s="869"/>
      <c r="I57" s="939" t="s">
        <v>208</v>
      </c>
      <c r="M57" s="940"/>
      <c r="P57" s="859"/>
      <c r="Q57" s="950" t="s">
        <v>213</v>
      </c>
      <c r="R57" s="953">
        <f t="shared" si="18"/>
        <v>230.35</v>
      </c>
      <c r="S57" s="952">
        <f>100*($J$14-B9)*($J$14-B10)*($J$14-B11)/((B8-B9)*(B8-B10)*(B8-B11))+97.5*($J$14-B8)*($J$14-B10)*($J$14-B11)/((B9-B8)*(B9-B10)*(B9-B11))+95*($J$14-B8)*($J$14-B9)*($J$14-B11)/((B10-B8)*(B10-B9)*(B10-B11))+92.5*($J$14-B8)*($J$14-B9)*($J$14-B10)/((B11-B8)*(B11-B9)*(B11-B10))</f>
        <v>102.732689339786</v>
      </c>
      <c r="T57" s="869"/>
      <c r="W57" s="881">
        <f t="shared" si="0"/>
        <v>0.3055555555555678</v>
      </c>
      <c r="X57" s="882">
        <f t="shared" si="20" ref="X57:X63">$D$1*W57</f>
        <v>87.38888888889238</v>
      </c>
    </row>
    <row r="58" spans="8:8" customHeight="1">
      <c r="D58" s="869"/>
      <c r="E58" s="941" t="s">
        <v>249</v>
      </c>
      <c r="F58" s="941"/>
      <c r="G58" s="913">
        <v>0.7</v>
      </c>
      <c r="H58" s="913">
        <v>0.6</v>
      </c>
      <c r="I58" s="913">
        <v>0.5</v>
      </c>
      <c r="J58" s="913">
        <v>0.4</v>
      </c>
      <c r="K58" s="913">
        <v>0.3</v>
      </c>
      <c r="L58" s="913">
        <v>0.2</v>
      </c>
      <c r="M58" s="942" t="s">
        <v>210</v>
      </c>
      <c r="R58" s="954">
        <f>J14</f>
        <v>265.9823990321207</v>
      </c>
      <c r="S58" s="955">
        <f>VLOOKUP(R58,R52:S57,2)</f>
        <v>102.732689339786</v>
      </c>
      <c r="T58" s="869"/>
      <c r="W58" s="881">
        <f t="shared" si="0"/>
        <v>0.3083333333333458</v>
      </c>
      <c r="X58" s="882">
        <f t="shared" si="20"/>
        <v>88.18333333333689</v>
      </c>
    </row>
    <row r="59" spans="8:8" customHeight="1">
      <c r="D59" s="869"/>
      <c r="E59" s="941"/>
      <c r="F59" s="941"/>
      <c r="G59" s="946">
        <v>1.0</v>
      </c>
      <c r="H59" s="946">
        <v>2.0</v>
      </c>
      <c r="I59" s="946">
        <v>3.0</v>
      </c>
      <c r="J59" s="946">
        <v>4.0</v>
      </c>
      <c r="K59" s="946">
        <v>5.0</v>
      </c>
      <c r="L59" s="944">
        <v>6.0</v>
      </c>
      <c r="M59" s="947"/>
      <c r="W59" s="881">
        <f t="shared" si="0"/>
        <v>0.3111111111111238</v>
      </c>
      <c r="X59" s="882">
        <f t="shared" si="20"/>
        <v>88.9777777777814</v>
      </c>
    </row>
    <row r="60" spans="8:8" customHeight="1">
      <c r="D60" s="859"/>
      <c r="E60" s="959">
        <v>-0.9</v>
      </c>
      <c r="F60" s="959">
        <v>1.0</v>
      </c>
      <c r="G60" s="960">
        <f>L44</f>
        <v>0.87</v>
      </c>
      <c r="H60" s="961">
        <v>0.84</v>
      </c>
      <c r="I60" s="961">
        <v>0.81</v>
      </c>
      <c r="J60" s="961">
        <v>0.79</v>
      </c>
      <c r="K60" s="961">
        <v>0.75</v>
      </c>
      <c r="L60" s="961">
        <v>0.72</v>
      </c>
      <c r="M60" s="962">
        <f>G60*($M$10-$B$16)*($M$10-$B$17)*($M$10-$B$18)*($M$10-$B$19)*($M$10-$B$20)/(($B$15-$B$16)*($B$15-$B$17)*($B$15-$B$18)*($B$15-$B$19)*($B$15-$B$20))+H60*($M$10-$B$15)*($M$10-$B$17)*($M$10-$B$18)*($M$10-$B$19)*($M$10-$B$20)/(($B$16-$B$15)*($B$16-$B$17)*($B$16-$B$18)*($B$16-$B$19)*($B$16-$B$20))+I60*($M$10-$B$15)*($M$10-$B$16)*($M$10-$B$18)*($M$10-$B$19)*($M$10-$B$20)/(($B$17-$B$15)*($B$17-$B$16)*($B$17-$B$18)*($B$17-$B$19)*($B$17-$B$20))+J60*($M$10-$B$15)*($M$10-$B$16)*($M$10-$B$17)*($M$10-$B$19)*($M$10-$B$20)/(($B$18-$B$15)*($B$18-$B$16)*($B$18-$B$17)*($B$18-$B$19)*($B$18-$B$20))+K60*($M$10-$B$15)*($M$10-$B$16)*($M$10-$B$17)*($M$10-$B$18)*($M$10-$B$20)/(($B$19-$B$15)*($B$19-$B$16)*($B$19-$B$17)*($B$19-$B$18)*($B$19-$B$20))+L60*($M$10-$B$15)*($M$10-$B$16)*($M$10-$B$17)*($M$10-$B$18)*($M$10-$B$19)/(($B$20-$B$15)*($B$20-$B$16)*($B$20-$B$17)*($B$20-$B$18)*($B$20-$B$19))</f>
        <v>-13.551755449924798</v>
      </c>
      <c r="O60" s="884" t="s">
        <v>313</v>
      </c>
      <c r="P60" s="859" t="s">
        <v>315</v>
      </c>
      <c r="Q60" s="884" t="s">
        <v>314</v>
      </c>
      <c r="W60" s="881">
        <f t="shared" si="0"/>
        <v>0.31388888888890176</v>
      </c>
      <c r="X60" s="882">
        <f t="shared" si="20"/>
        <v>89.7722222222259</v>
      </c>
      <c r="AU60" s="869"/>
      <c r="AV60" s="869"/>
      <c r="AW60" s="869"/>
      <c r="AX60" s="869"/>
    </row>
    <row r="61" spans="8:8" customHeight="1">
      <c r="D61" s="859"/>
      <c r="E61" s="959"/>
      <c r="F61" s="959"/>
      <c r="G61" s="963"/>
      <c r="H61" s="964"/>
      <c r="I61" s="964"/>
      <c r="J61" s="964"/>
      <c r="K61" s="964"/>
      <c r="L61" s="964"/>
      <c r="M61" s="962"/>
      <c r="O61" s="859"/>
      <c r="P61" s="859"/>
      <c r="Q61" s="859"/>
      <c r="W61" s="881">
        <f t="shared" si="0"/>
        <v>0.31666666666667975</v>
      </c>
      <c r="X61" s="882">
        <f t="shared" si="20"/>
        <v>90.56666666667041</v>
      </c>
      <c r="AU61" s="869"/>
      <c r="AV61" s="869"/>
      <c r="AW61" s="869"/>
      <c r="AX61" s="869"/>
    </row>
    <row r="62" spans="8:8" customHeight="1">
      <c r="D62" s="859"/>
      <c r="E62" s="959">
        <f t="shared" si="21" ref="E62:E70">F60-0.001</f>
        <v>0.999</v>
      </c>
      <c r="F62" s="959">
        <v>2.0</v>
      </c>
      <c r="G62" s="960">
        <f t="shared" si="22" ref="G62">L46</f>
        <v>0.88</v>
      </c>
      <c r="H62" s="961">
        <v>0.85</v>
      </c>
      <c r="I62" s="961">
        <v>0.82</v>
      </c>
      <c r="J62" s="961">
        <v>0.79</v>
      </c>
      <c r="K62" s="961">
        <v>0.76</v>
      </c>
      <c r="L62" s="961">
        <v>0.73</v>
      </c>
      <c r="M62" s="962">
        <f>G62*($M$10-$B$16)*($M$10-$B$17)*($M$10-$B$18)*($M$10-$B$19)*($M$10-$B$20)/(($B$15-$B$16)*($B$15-$B$17)*($B$15-$B$18)*($B$15-$B$19)*($B$15-$B$20))+H62*($M$10-$B$15)*($M$10-$B$17)*($M$10-$B$18)*($M$10-$B$19)*($M$10-$B$20)/(($B$16-$B$15)*($B$16-$B$17)*($B$16-$B$18)*($B$16-$B$19)*($B$16-$B$20))+I62*($M$10-$B$15)*($M$10-$B$16)*($M$10-$B$18)*($M$10-$B$19)*($M$10-$B$20)/(($B$17-$B$15)*($B$17-$B$16)*($B$17-$B$18)*($B$17-$B$19)*($B$17-$B$20))+J62*($M$10-$B$15)*($M$10-$B$16)*($M$10-$B$17)*($M$10-$B$19)*($M$10-$B$20)/(($B$18-$B$15)*($B$18-$B$16)*($B$18-$B$17)*($B$18-$B$19)*($B$18-$B$20))+K62*($M$10-$B$15)*($M$10-$B$16)*($M$10-$B$17)*($M$10-$B$18)*($M$10-$B$20)/(($B$19-$B$15)*($B$19-$B$16)*($B$19-$B$17)*($B$19-$B$18)*($B$19-$B$20))+L62*($M$10-$B$15)*($M$10-$B$16)*($M$10-$B$17)*($M$10-$B$18)*($M$10-$B$19)/(($B$20-$B$15)*($B$20-$B$16)*($B$20-$B$17)*($B$20-$B$18)*($B$20-$B$19))</f>
        <v>1.0756019303569957</v>
      </c>
      <c r="N62" s="859"/>
      <c r="O62" s="859"/>
      <c r="P62" s="859"/>
      <c r="Q62" s="859"/>
      <c r="R62" s="859"/>
      <c r="W62" s="881">
        <f t="shared" si="0"/>
        <v>0.31944444444445774</v>
      </c>
      <c r="X62" s="882">
        <f t="shared" si="20"/>
        <v>91.36111111111491</v>
      </c>
      <c r="AU62" s="869"/>
      <c r="AV62" s="869"/>
      <c r="AW62" s="869"/>
      <c r="AX62" s="869"/>
    </row>
    <row r="63" spans="8:8" customHeight="1">
      <c r="D63" s="859"/>
      <c r="E63" s="959"/>
      <c r="F63" s="959"/>
      <c r="G63" s="963"/>
      <c r="H63" s="964"/>
      <c r="I63" s="964"/>
      <c r="J63" s="964"/>
      <c r="K63" s="964"/>
      <c r="L63" s="964"/>
      <c r="M63" s="962"/>
      <c r="N63" s="859"/>
      <c r="O63" s="859"/>
      <c r="R63" s="745" t="s">
        <v>222</v>
      </c>
      <c r="S63" s="745" t="s">
        <v>13</v>
      </c>
      <c r="T63" s="745" t="s">
        <v>78</v>
      </c>
      <c r="W63" s="881">
        <f t="shared" si="0"/>
        <v>0.3222222222222358</v>
      </c>
      <c r="X63" s="882">
        <f t="shared" si="20"/>
        <v>92.15555555555943</v>
      </c>
      <c r="AU63" s="869"/>
      <c r="AV63" s="869"/>
      <c r="AW63" s="869"/>
      <c r="AX63" s="869"/>
    </row>
    <row r="64" spans="8:8" ht="13.5" customHeight="1">
      <c r="D64" s="859"/>
      <c r="E64" s="959">
        <f t="shared" si="21"/>
        <v>1.999</v>
      </c>
      <c r="F64" s="959">
        <v>4.0</v>
      </c>
      <c r="G64" s="960">
        <f t="shared" si="23" ref="G64">L48</f>
        <v>0.89</v>
      </c>
      <c r="H64" s="961">
        <v>0.86</v>
      </c>
      <c r="I64" s="961">
        <v>0.83</v>
      </c>
      <c r="J64" s="961">
        <v>0.8</v>
      </c>
      <c r="K64" s="961">
        <v>0.77</v>
      </c>
      <c r="L64" s="961">
        <v>0.74</v>
      </c>
      <c r="M64" s="962">
        <f>G64*($M$10-$B$16)*($M$10-$B$17)*($M$10-$B$18)*($M$10-$B$19)*($M$10-$B$20)/(($B$15-$B$16)*($B$15-$B$17)*($B$15-$B$18)*($B$15-$B$19)*($B$15-$B$20))+H64*($M$10-$B$15)*($M$10-$B$17)*($M$10-$B$18)*($M$10-$B$19)*($M$10-$B$20)/(($B$16-$B$15)*($B$16-$B$17)*($B$16-$B$18)*($B$16-$B$19)*($B$16-$B$20))+I64*($M$10-$B$15)*($M$10-$B$16)*($M$10-$B$18)*($M$10-$B$19)*($M$10-$B$20)/(($B$17-$B$15)*($B$17-$B$16)*($B$17-$B$18)*($B$17-$B$19)*($B$17-$B$20))+J64*($M$10-$B$15)*($M$10-$B$16)*($M$10-$B$17)*($M$10-$B$19)*($M$10-$B$20)/(($B$18-$B$15)*($B$18-$B$16)*($B$18-$B$17)*($B$18-$B$19)*($B$18-$B$20))+K64*($M$10-$B$15)*($M$10-$B$16)*($M$10-$B$17)*($M$10-$B$18)*($M$10-$B$20)/(($B$19-$B$15)*($B$19-$B$16)*($B$19-$B$17)*($B$19-$B$18)*($B$19-$B$20))+L64*($M$10-$B$15)*($M$10-$B$16)*($M$10-$B$17)*($M$10-$B$18)*($M$10-$B$19)/(($B$20-$B$15)*($B$20-$B$16)*($B$20-$B$17)*($B$20-$B$18)*($B$20-$B$19))</f>
        <v>1.0856019303570008</v>
      </c>
      <c r="N64" s="940"/>
      <c r="O64" s="859"/>
      <c r="P64" s="859"/>
      <c r="R64" s="669">
        <v>0.709</v>
      </c>
      <c r="S64" s="668">
        <v>-1.0</v>
      </c>
      <c r="T64" s="965">
        <v>0.01135</v>
      </c>
      <c r="U64" s="852">
        <v>0.01135</v>
      </c>
      <c r="W64" s="867">
        <f t="shared" si="0"/>
        <v>0.3250000000000138</v>
      </c>
      <c r="X64" s="868">
        <f>$D$1*W64</f>
        <v>92.95000000000394</v>
      </c>
      <c r="AU64" s="869"/>
      <c r="AV64" s="869"/>
      <c r="AW64" s="869"/>
      <c r="AX64" s="869"/>
    </row>
    <row r="65" spans="8:8" ht="13.5" customHeight="1">
      <c r="D65" s="859"/>
      <c r="E65" s="959"/>
      <c r="F65" s="959"/>
      <c r="G65" s="963"/>
      <c r="H65" s="964"/>
      <c r="I65" s="964"/>
      <c r="J65" s="964"/>
      <c r="K65" s="964"/>
      <c r="L65" s="964"/>
      <c r="M65" s="962"/>
      <c r="N65" s="940"/>
      <c r="O65" s="859"/>
      <c r="P65" s="859"/>
      <c r="R65" s="668">
        <v>0.703</v>
      </c>
      <c r="S65" s="668">
        <v>-5.0</v>
      </c>
      <c r="T65" s="965">
        <v>0.01134</v>
      </c>
      <c r="U65" s="852">
        <f>U64-0.00001</f>
        <v>0.011340000000000001</v>
      </c>
      <c r="W65" s="881">
        <f t="shared" si="0"/>
        <v>0.32777777777779177</v>
      </c>
      <c r="X65" s="882">
        <f>$D$1*W65</f>
        <v>93.74444444444845</v>
      </c>
      <c r="AU65" s="869"/>
      <c r="AV65" s="869"/>
      <c r="AW65" s="869"/>
      <c r="AX65" s="869"/>
    </row>
    <row r="66" spans="8:8" ht="13.5" customHeight="1">
      <c r="D66" s="859"/>
      <c r="E66" s="959">
        <f t="shared" si="21"/>
        <v>3.999</v>
      </c>
      <c r="F66" s="959">
        <v>6.0</v>
      </c>
      <c r="G66" s="960">
        <f t="shared" si="24" ref="G66">L50</f>
        <v>0.9</v>
      </c>
      <c r="H66" s="961">
        <v>0.88</v>
      </c>
      <c r="I66" s="961">
        <v>0.86</v>
      </c>
      <c r="J66" s="961">
        <v>0.84</v>
      </c>
      <c r="K66" s="961">
        <v>0.82</v>
      </c>
      <c r="L66" s="961">
        <v>0.8</v>
      </c>
      <c r="M66" s="962">
        <f>G66*($M$10-$B$16)*($M$10-$B$17)*($M$10-$B$18)*($M$10-$B$19)*($M$10-$B$20)/(($B$15-$B$16)*($B$15-$B$17)*($B$15-$B$18)*($B$15-$B$19)*($B$15-$B$20))+H66*($M$10-$B$15)*($M$10-$B$17)*($M$10-$B$18)*($M$10-$B$19)*($M$10-$B$20)/(($B$16-$B$15)*($B$16-$B$17)*($B$16-$B$18)*($B$16-$B$19)*($B$16-$B$20))+I66*($M$10-$B$15)*($M$10-$B$16)*($M$10-$B$18)*($M$10-$B$19)*($M$10-$B$20)/(($B$17-$B$15)*($B$17-$B$16)*($B$17-$B$18)*($B$17-$B$19)*($B$17-$B$20))+J66*($M$10-$B$15)*($M$10-$B$16)*($M$10-$B$17)*($M$10-$B$19)*($M$10-$B$20)/(($B$18-$B$15)*($B$18-$B$16)*($B$18-$B$17)*($B$18-$B$19)*($B$18-$B$20))+K66*($M$10-$B$15)*($M$10-$B$16)*($M$10-$B$17)*($M$10-$B$18)*($M$10-$B$20)/(($B$19-$B$15)*($B$19-$B$16)*($B$19-$B$17)*($B$19-$B$18)*($B$19-$B$20))+L66*($M$10-$B$15)*($M$10-$B$16)*($M$10-$B$17)*($M$10-$B$18)*($M$10-$B$19)/(($B$20-$B$15)*($B$20-$B$16)*($B$20-$B$17)*($B$20-$B$18)*($B$20-$B$19))</f>
        <v>1.0304012869059989</v>
      </c>
      <c r="N66" s="940"/>
      <c r="O66" s="859"/>
      <c r="P66" s="859"/>
      <c r="R66" s="669">
        <v>0.696</v>
      </c>
      <c r="S66" s="668">
        <v>-10.0</v>
      </c>
      <c r="T66" s="965">
        <v>0.01133</v>
      </c>
      <c r="U66" s="852">
        <f t="shared" si="25" ref="U66:U69">U65-0.00001</f>
        <v>0.01133</v>
      </c>
      <c r="W66" s="881">
        <f t="shared" si="26" ref="W66:W129">W65+1/360</f>
        <v>0.33055555555556976</v>
      </c>
      <c r="X66" s="882">
        <f t="shared" si="27" ref="X66:X72">$D$1*W66</f>
        <v>94.53888888889296</v>
      </c>
      <c r="AU66" s="869"/>
      <c r="AV66" s="869"/>
      <c r="AW66" s="869"/>
      <c r="AX66" s="869"/>
    </row>
    <row r="67" spans="8:8" customHeight="1">
      <c r="E67" s="959"/>
      <c r="F67" s="959"/>
      <c r="G67" s="963"/>
      <c r="H67" s="964"/>
      <c r="I67" s="964"/>
      <c r="J67" s="964"/>
      <c r="K67" s="964"/>
      <c r="L67" s="964"/>
      <c r="M67" s="962"/>
      <c r="R67" s="669">
        <v>0.685</v>
      </c>
      <c r="S67" s="668">
        <v>-15.0</v>
      </c>
      <c r="T67" s="965">
        <v>0.01132</v>
      </c>
      <c r="U67" s="852">
        <f t="shared" si="25"/>
        <v>0.01132</v>
      </c>
      <c r="W67" s="881">
        <f t="shared" si="26"/>
        <v>0.33333333333334775</v>
      </c>
      <c r="X67" s="882">
        <f t="shared" si="27"/>
        <v>95.33333333333745</v>
      </c>
      <c r="AU67" s="869"/>
      <c r="AV67" s="869"/>
      <c r="AW67" s="869"/>
      <c r="AX67" s="869"/>
    </row>
    <row r="68" spans="8:8" customHeight="1">
      <c r="E68" s="959">
        <f t="shared" si="21"/>
        <v>5.999</v>
      </c>
      <c r="F68" s="959">
        <v>8.0</v>
      </c>
      <c r="G68" s="960">
        <f t="shared" si="28" ref="G68">L52</f>
        <v>0.91</v>
      </c>
      <c r="H68" s="961">
        <v>0.89</v>
      </c>
      <c r="I68" s="961">
        <v>0.87</v>
      </c>
      <c r="J68" s="961">
        <v>0.85</v>
      </c>
      <c r="K68" s="961">
        <v>0.83</v>
      </c>
      <c r="L68" s="961">
        <v>0.81</v>
      </c>
      <c r="M68" s="962">
        <f>G68*($M$10-$B$16)*($M$10-$B$17)*($M$10-$B$18)*($M$10-$B$19)*($M$10-$B$20)/(($B$15-$B$16)*($B$15-$B$17)*($B$15-$B$18)*($B$15-$B$19)*($B$15-$B$20))+H68*($M$10-$B$15)*($M$10-$B$17)*($M$10-$B$18)*($M$10-$B$19)*($M$10-$B$20)/(($B$16-$B$15)*($B$16-$B$17)*($B$16-$B$18)*($B$16-$B$19)*($B$16-$B$20))+I68*($M$10-$B$15)*($M$10-$B$16)*($M$10-$B$18)*($M$10-$B$19)*($M$10-$B$20)/(($B$17-$B$15)*($B$17-$B$16)*($B$17-$B$18)*($B$17-$B$19)*($B$17-$B$20))+J68*($M$10-$B$15)*($M$10-$B$16)*($M$10-$B$17)*($M$10-$B$19)*($M$10-$B$20)/(($B$18-$B$15)*($B$18-$B$16)*($B$18-$B$17)*($B$18-$B$19)*($B$18-$B$20))+K68*($M$10-$B$15)*($M$10-$B$16)*($M$10-$B$17)*($M$10-$B$18)*($M$10-$B$20)/(($B$19-$B$15)*($B$19-$B$16)*($B$19-$B$17)*($B$19-$B$18)*($B$19-$B$20))+L68*($M$10-$B$15)*($M$10-$B$16)*($M$10-$B$17)*($M$10-$B$18)*($M$10-$B$19)/(($B$20-$B$15)*($B$20-$B$16)*($B$20-$B$17)*($B$20-$B$18)*($B$20-$B$19))</f>
        <v>1.0404012869050092</v>
      </c>
      <c r="O68" s="422"/>
      <c r="P68" s="422"/>
      <c r="R68" s="669">
        <v>0.679</v>
      </c>
      <c r="S68" s="668">
        <v>-20.0</v>
      </c>
      <c r="T68" s="965">
        <v>0.01131</v>
      </c>
      <c r="U68" s="852">
        <f t="shared" si="25"/>
        <v>0.01131</v>
      </c>
      <c r="W68" s="881">
        <f t="shared" si="26"/>
        <v>0.3361111111111258</v>
      </c>
      <c r="X68" s="882">
        <f t="shared" si="27"/>
        <v>96.12777777778197</v>
      </c>
      <c r="AU68" s="869"/>
      <c r="AV68" s="869"/>
      <c r="AW68" s="869"/>
      <c r="AX68" s="869"/>
    </row>
    <row r="69" spans="8:8" customHeight="1">
      <c r="E69" s="959"/>
      <c r="F69" s="959"/>
      <c r="G69" s="963"/>
      <c r="H69" s="964"/>
      <c r="I69" s="964"/>
      <c r="J69" s="964"/>
      <c r="K69" s="964"/>
      <c r="L69" s="964"/>
      <c r="M69" s="962"/>
      <c r="O69" s="323"/>
      <c r="P69" s="323"/>
      <c r="R69" s="669">
        <v>0.671</v>
      </c>
      <c r="S69" s="668">
        <v>-25.0</v>
      </c>
      <c r="T69" s="965">
        <v>0.0113</v>
      </c>
      <c r="U69" s="852">
        <f t="shared" si="25"/>
        <v>0.011300000000000001</v>
      </c>
      <c r="W69" s="881">
        <f t="shared" si="26"/>
        <v>0.3388888888889038</v>
      </c>
      <c r="X69" s="882">
        <f t="shared" si="27"/>
        <v>96.92222222222648</v>
      </c>
      <c r="AU69" s="869"/>
      <c r="AV69" s="869"/>
      <c r="AW69" s="869"/>
      <c r="AX69" s="869"/>
    </row>
    <row r="70" spans="8:8" customHeight="1">
      <c r="E70" s="959">
        <f t="shared" si="21"/>
        <v>7.999</v>
      </c>
      <c r="F70" s="959">
        <v>20.0</v>
      </c>
      <c r="G70" s="959"/>
      <c r="H70" s="959"/>
      <c r="I70" s="959"/>
      <c r="J70" s="959"/>
      <c r="K70" s="959"/>
      <c r="L70" s="959"/>
      <c r="M70" s="966">
        <f>M68*1.0075</f>
        <v>1.0482042965567968</v>
      </c>
      <c r="O70" s="323"/>
      <c r="P70" s="323"/>
      <c r="R70" s="323"/>
      <c r="W70" s="881">
        <f t="shared" si="26"/>
        <v>0.3416666666666818</v>
      </c>
      <c r="X70" s="882">
        <f t="shared" si="27"/>
        <v>97.71666666667099</v>
      </c>
      <c r="AU70" s="869"/>
      <c r="AV70" s="869"/>
      <c r="AW70" s="869"/>
      <c r="AX70" s="869"/>
    </row>
    <row r="71" spans="8:8" customHeight="1">
      <c r="E71" s="959"/>
      <c r="F71" s="959"/>
      <c r="G71" s="959"/>
      <c r="H71" s="959"/>
      <c r="I71" s="959"/>
      <c r="J71" s="959"/>
      <c r="K71" s="959"/>
      <c r="L71" s="959"/>
      <c r="M71" s="966"/>
      <c r="O71" s="323"/>
      <c r="P71" s="323"/>
      <c r="R71" s="669">
        <f>R69</f>
        <v>0.671</v>
      </c>
      <c r="S71" s="668">
        <v>-25.0</v>
      </c>
      <c r="T71" s="965">
        <f>T69</f>
        <v>0.0113</v>
      </c>
      <c r="W71" s="881">
        <f t="shared" si="26"/>
        <v>0.34444444444445976</v>
      </c>
      <c r="X71" s="882">
        <f t="shared" si="27"/>
        <v>98.5111111111155</v>
      </c>
      <c r="AU71" s="869"/>
      <c r="AV71" s="869"/>
      <c r="AW71" s="869"/>
      <c r="AX71" s="869"/>
    </row>
    <row r="72" spans="8:8" customHeight="1">
      <c r="O72" s="323"/>
      <c r="P72" s="323"/>
      <c r="R72" s="668">
        <v>0.659</v>
      </c>
      <c r="S72" s="668">
        <v>-30.0</v>
      </c>
      <c r="T72" s="965">
        <v>0.01129</v>
      </c>
      <c r="U72" s="852">
        <f>U69-0.00001</f>
        <v>0.01129</v>
      </c>
      <c r="W72" s="881">
        <f t="shared" si="26"/>
        <v>0.34722222222223775</v>
      </c>
      <c r="X72" s="882">
        <f t="shared" si="27"/>
        <v>99.30555555555999</v>
      </c>
      <c r="AU72" s="869"/>
      <c r="AV72" s="869"/>
      <c r="AW72" s="869"/>
      <c r="AX72" s="869"/>
    </row>
    <row r="73" spans="8:8" customHeight="1">
      <c r="I73" s="939" t="s">
        <v>208</v>
      </c>
      <c r="M73" s="940"/>
      <c r="P73" s="859"/>
      <c r="R73" s="669">
        <v>0.646</v>
      </c>
      <c r="S73" s="668">
        <v>-35.0</v>
      </c>
      <c r="T73" s="965">
        <v>0.01128</v>
      </c>
      <c r="U73" s="852">
        <f>U72-0.00001</f>
        <v>0.01128</v>
      </c>
      <c r="W73" s="867">
        <f t="shared" si="26"/>
        <v>0.35000000000001574</v>
      </c>
      <c r="X73" s="868">
        <f>$D$1*W73</f>
        <v>100.1000000000045</v>
      </c>
      <c r="AU73" s="869"/>
      <c r="AV73" s="869"/>
      <c r="AW73" s="869"/>
      <c r="AX73" s="869"/>
    </row>
    <row r="74" spans="8:8" customHeight="1">
      <c r="E74" s="941" t="s">
        <v>211</v>
      </c>
      <c r="F74" s="941"/>
      <c r="G74" s="913">
        <v>1.0</v>
      </c>
      <c r="H74" s="913">
        <v>0.95</v>
      </c>
      <c r="I74" s="913">
        <v>0.9</v>
      </c>
      <c r="J74" s="913">
        <v>0.85</v>
      </c>
      <c r="K74" s="913">
        <v>0.8</v>
      </c>
      <c r="L74" s="913">
        <v>0.7</v>
      </c>
      <c r="M74" s="942" t="s">
        <v>210</v>
      </c>
      <c r="P74" s="859"/>
      <c r="R74" s="669">
        <v>0.634</v>
      </c>
      <c r="S74" s="668">
        <v>-40.0</v>
      </c>
      <c r="T74" s="965">
        <v>0.01127</v>
      </c>
      <c r="U74" s="852">
        <f t="shared" si="29" ref="U74:U76">U73-0.00001</f>
        <v>0.01127</v>
      </c>
      <c r="W74" s="881">
        <f t="shared" si="26"/>
        <v>0.3527777777777938</v>
      </c>
      <c r="X74" s="882">
        <f>$D$1*W74</f>
        <v>100.89444444444902</v>
      </c>
      <c r="AU74" s="869"/>
      <c r="AV74" s="869"/>
      <c r="AW74" s="869"/>
      <c r="AX74" s="869"/>
    </row>
    <row r="75" spans="8:8" ht="13.5" customHeight="1">
      <c r="E75" s="941"/>
      <c r="F75" s="941"/>
      <c r="G75" s="946">
        <v>1.0</v>
      </c>
      <c r="H75" s="946">
        <v>2.0</v>
      </c>
      <c r="I75" s="939">
        <v>3.0</v>
      </c>
      <c r="J75" s="946">
        <v>4.0</v>
      </c>
      <c r="K75" s="946">
        <v>5.0</v>
      </c>
      <c r="L75" s="944">
        <v>6.0</v>
      </c>
      <c r="M75" s="947"/>
      <c r="P75" s="859"/>
      <c r="R75" s="669">
        <v>0.622</v>
      </c>
      <c r="S75" s="668">
        <v>-45.0</v>
      </c>
      <c r="T75" s="965">
        <v>0.01126</v>
      </c>
      <c r="U75" s="852">
        <f t="shared" si="29"/>
        <v>0.011260000000000001</v>
      </c>
      <c r="W75" s="881">
        <f t="shared" si="26"/>
        <v>0.3555555555555718</v>
      </c>
      <c r="X75" s="882">
        <f t="shared" si="30" ref="X75:X81">$D$1*W75</f>
        <v>101.68888888889353</v>
      </c>
      <c r="AU75" s="869"/>
      <c r="AV75" s="869"/>
      <c r="AW75" s="869"/>
      <c r="AX75" s="869"/>
    </row>
    <row r="76" spans="8:8" customHeight="1">
      <c r="E76" s="948">
        <v>0.01</v>
      </c>
      <c r="F76" s="948">
        <v>-7.0</v>
      </c>
      <c r="G76" s="948">
        <v>1.0</v>
      </c>
      <c r="H76" s="948">
        <v>0.986</v>
      </c>
      <c r="I76" s="948">
        <v>0.972</v>
      </c>
      <c r="J76" s="948">
        <v>0.958</v>
      </c>
      <c r="K76" s="948">
        <v>0.944</v>
      </c>
      <c r="L76" s="948">
        <v>0.92</v>
      </c>
      <c r="M76" s="949">
        <f>G76*($M$10-$B$10)*($M$10-$B$12)*($M$10-$B$13)*($M$10-$B$14)*($M$10-$B$15)/(($B$8-$B$10)*($B$8-$B$12)*($B$8-$B$13)*($B$8-$B$14)*($B$8-$B$15))+H76*($M$10-$B$8)*($M$10-$B$12)*($M$10-$B$13)*($M$10-$B$14)*($M$10-$B$15)/(($B$10-$B$8)*($B$10-$B$12)*($B$10-$B$13)*($B$10-$B$14)*($B$10-$B$15))+I76*($M$10-$B$8)*($M$10-$B$10)*($M$10-$B$13)*($M$10-$B$14)*($M$10-$B$15)/(($B$12-$B$8)*($B$12-$B$10)*($B$12-$B$13)*($B$12-$B$14)*($B$12-$B$15))+J76*($M$10-$B$8)*($M$10-$B$10)*($M$10-$B$12)*($M$10-$B$14)*($M$10-$B$15)/(($B$13-$B$8)*($B$13-$B$10)*($B$13-$B$12)*($B$13-$B$14)*($B$13-$B$15))+K76*($M$10-$B$8)*($M$10-$B$10)*($M$10-$B$12)*($M$10-$B$13)*($M$10-$B$15)/(($B$14-$B$8)*($B$14-$B$10)*($B$14-$B$12)*($B$14-$B$13)*($B$14-$B$15))+L76*($M$10-$B$8)*($M$10-$B$10)*($M$10-$B$12)*($M$10-$B$13)*($M$10-$B$14)/(($B$15-$B$8)*($B$15-$B$10)*($B$15-$B$12)*($B$15-$B$13)*($B$15-$B$14))</f>
        <v>1.0048754694536428</v>
      </c>
      <c r="P76" s="859"/>
      <c r="R76" s="669">
        <v>0.611</v>
      </c>
      <c r="S76" s="668">
        <v>-50.0</v>
      </c>
      <c r="T76" s="965">
        <v>0.01125</v>
      </c>
      <c r="U76" s="852">
        <f t="shared" si="29"/>
        <v>0.01125</v>
      </c>
      <c r="W76" s="881">
        <f t="shared" si="26"/>
        <v>0.35833333333334977</v>
      </c>
      <c r="X76" s="882">
        <f t="shared" si="30"/>
        <v>102.48333333333804</v>
      </c>
      <c r="AU76" s="869"/>
      <c r="AV76" s="869"/>
      <c r="AW76" s="869"/>
      <c r="AX76" s="869"/>
    </row>
    <row r="77" spans="8:8" customHeight="1">
      <c r="E77" s="948"/>
      <c r="F77" s="948"/>
      <c r="G77" s="948"/>
      <c r="H77" s="948"/>
      <c r="I77" s="948"/>
      <c r="J77" s="948"/>
      <c r="K77" s="948"/>
      <c r="L77" s="948"/>
      <c r="M77" s="949"/>
      <c r="R77" s="859"/>
      <c r="W77" s="881">
        <f t="shared" si="26"/>
        <v>0.36111111111112776</v>
      </c>
      <c r="X77" s="882">
        <f t="shared" si="30"/>
        <v>103.27777777778253</v>
      </c>
      <c r="AL77" s="869"/>
      <c r="AM77" s="869"/>
      <c r="AN77" s="869"/>
      <c r="AO77" s="869"/>
      <c r="AP77" s="869"/>
      <c r="AQ77" s="869"/>
      <c r="AR77" s="869"/>
      <c r="AS77" s="869"/>
      <c r="AT77" s="869"/>
      <c r="AU77" s="869"/>
      <c r="AV77" s="869"/>
      <c r="AW77" s="869"/>
      <c r="AX77" s="869"/>
    </row>
    <row r="78" spans="8:8" customHeight="1">
      <c r="E78" s="948">
        <f>F76+0.001</f>
        <v>-6.999</v>
      </c>
      <c r="F78" s="948">
        <v>-13.0</v>
      </c>
      <c r="G78" s="948">
        <v>1.0</v>
      </c>
      <c r="H78" s="948">
        <v>0.982</v>
      </c>
      <c r="I78" s="948">
        <v>0.964</v>
      </c>
      <c r="J78" s="948">
        <v>0.951</v>
      </c>
      <c r="K78" s="948">
        <v>0.928</v>
      </c>
      <c r="L78" s="948">
        <v>0.9</v>
      </c>
      <c r="M78" s="949">
        <f>G78*($M$10-$B$10)*($M$10-$B$12)*($M$10-$B$13)*($M$10-$B$14)*($M$10-$B$15)/(($B$8-$B$10)*($B$8-$B$12)*($B$8-$B$13)*($B$8-$B$14)*($B$8-$B$15))+H78*($M$10-$B$8)*($M$10-$B$12)*($M$10-$B$13)*($M$10-$B$14)*($M$10-$B$15)/(($B$10-$B$8)*($B$10-$B$12)*($B$10-$B$13)*($B$10-$B$14)*($B$10-$B$15))+I78*($M$10-$B$8)*($M$10-$B$10)*($M$10-$B$13)*($M$10-$B$14)*($M$10-$B$15)/(($B$12-$B$8)*($B$12-$B$10)*($B$12-$B$13)*($B$12-$B$14)*($B$12-$B$15))+J78*($M$10-$B$8)*($M$10-$B$10)*($M$10-$B$12)*($M$10-$B$14)*($M$10-$B$15)/(($B$13-$B$8)*($B$13-$B$10)*($B$13-$B$12)*($B$13-$B$14)*($B$13-$B$15))+K78*($M$10-$B$8)*($M$10-$B$10)*($M$10-$B$12)*($M$10-$B$13)*($M$10-$B$15)/(($B$14-$B$8)*($B$14-$B$10)*($B$14-$B$12)*($B$14-$B$13)*($B$14-$B$15))+L78*($M$10-$B$8)*($M$10-$B$10)*($M$10-$B$12)*($M$10-$B$13)*($M$10-$B$14)/(($B$15-$B$8)*($B$15-$B$10)*($B$15-$B$12)*($B$15-$B$13)*($B$15-$B$14))</f>
        <v>0.9969268844540304</v>
      </c>
      <c r="W78" s="881">
        <f t="shared" si="26"/>
        <v>0.36388888888890575</v>
      </c>
      <c r="X78" s="882">
        <f t="shared" si="30"/>
        <v>104.07222222222704</v>
      </c>
      <c r="AL78" s="869"/>
      <c r="AM78" s="869"/>
      <c r="AN78" s="869"/>
      <c r="AO78" s="869"/>
      <c r="AP78" s="869"/>
      <c r="AQ78" s="869"/>
      <c r="AR78" s="869"/>
      <c r="AS78" s="869"/>
      <c r="AT78" s="869"/>
      <c r="AU78" s="869"/>
      <c r="AV78" s="869"/>
      <c r="AW78" s="869"/>
      <c r="AX78" s="869"/>
    </row>
    <row r="79" spans="8:8" ht="13.5" customHeight="1">
      <c r="E79" s="948"/>
      <c r="F79" s="948"/>
      <c r="G79" s="948"/>
      <c r="H79" s="948"/>
      <c r="I79" s="948"/>
      <c r="J79" s="948"/>
      <c r="K79" s="948"/>
      <c r="L79" s="948"/>
      <c r="M79" s="949"/>
      <c r="W79" s="881">
        <f t="shared" si="26"/>
        <v>0.3666666666666838</v>
      </c>
      <c r="X79" s="882">
        <f t="shared" si="30"/>
        <v>104.86666666667156</v>
      </c>
      <c r="AL79" s="869"/>
      <c r="AM79" s="869"/>
      <c r="AN79" s="869"/>
      <c r="AO79" s="869"/>
      <c r="AP79" s="869"/>
      <c r="AQ79" s="869"/>
      <c r="AR79" s="869"/>
      <c r="AS79" s="869"/>
      <c r="AT79" s="869"/>
      <c r="AU79" s="869"/>
      <c r="AV79" s="869"/>
      <c r="AW79" s="869"/>
      <c r="AX79" s="869"/>
    </row>
    <row r="80" spans="8:8" ht="13.5" customHeight="1">
      <c r="E80" s="948">
        <f t="shared" si="31" ref="E80">F78+0.001</f>
        <v>-12.999</v>
      </c>
      <c r="F80" s="948">
        <v>-16.0</v>
      </c>
      <c r="G80" s="948">
        <v>1.01</v>
      </c>
      <c r="H80" s="948">
        <v>0.978</v>
      </c>
      <c r="I80" s="948">
        <v>0.946</v>
      </c>
      <c r="J80" s="948">
        <v>0.915</v>
      </c>
      <c r="K80" s="948">
        <v>0.898</v>
      </c>
      <c r="L80" s="948">
        <v>0.844</v>
      </c>
      <c r="M80" s="949">
        <f>G80*($M$10-$B$10)*($M$10-$B$12)*($M$10-$B$13)*($M$10-$B$14)*($M$10-$B$15)/(($B$8-$B$10)*($B$8-$B$12)*($B$8-$B$13)*($B$8-$B$14)*($B$8-$B$15))+H80*($M$10-$B$8)*($M$10-$B$12)*($M$10-$B$13)*($M$10-$B$14)*($M$10-$B$15)/(($B$10-$B$8)*($B$10-$B$12)*($B$10-$B$13)*($B$10-$B$14)*($B$10-$B$15))+I80*($M$10-$B$8)*($M$10-$B$10)*($M$10-$B$13)*($M$10-$B$14)*($M$10-$B$15)/(($B$12-$B$8)*($B$12-$B$10)*($B$12-$B$13)*($B$12-$B$14)*($B$12-$B$15))+J80*($M$10-$B$8)*($M$10-$B$10)*($M$10-$B$12)*($M$10-$B$14)*($M$10-$B$15)/(($B$13-$B$8)*($B$13-$B$10)*($B$13-$B$12)*($B$13-$B$14)*($B$13-$B$15))+K80*($M$10-$B$8)*($M$10-$B$10)*($M$10-$B$12)*($M$10-$B$13)*($M$10-$B$15)/(($B$14-$B$8)*($B$14-$B$10)*($B$14-$B$12)*($B$14-$B$13)*($B$14-$B$15))+L80*($M$10-$B$8)*($M$10-$B$10)*($M$10-$B$12)*($M$10-$B$13)*($M$10-$B$14)/(($B$15-$B$8)*($B$15-$B$10)*($B$15-$B$12)*($B$15-$B$13)*($B$15-$B$14))</f>
        <v>1.0279704818365942</v>
      </c>
      <c r="W80" s="881">
        <f t="shared" si="26"/>
        <v>0.3694444444444618</v>
      </c>
      <c r="X80" s="882">
        <f t="shared" si="30"/>
        <v>105.66111111111607</v>
      </c>
      <c r="AL80" s="869"/>
      <c r="AM80" s="869"/>
      <c r="AN80" s="869"/>
      <c r="AO80" s="869"/>
      <c r="AP80" s="869"/>
      <c r="AQ80" s="869"/>
      <c r="AR80" s="869"/>
      <c r="AS80" s="869"/>
      <c r="AT80" s="869"/>
      <c r="AU80" s="869"/>
      <c r="AV80" s="869"/>
      <c r="AW80" s="869"/>
      <c r="AX80" s="869"/>
    </row>
    <row r="81" spans="8:8" customHeight="1">
      <c r="E81" s="948"/>
      <c r="F81" s="948"/>
      <c r="G81" s="948"/>
      <c r="H81" s="948"/>
      <c r="I81" s="948"/>
      <c r="J81" s="948"/>
      <c r="K81" s="948"/>
      <c r="L81" s="948"/>
      <c r="M81" s="949"/>
      <c r="W81" s="881">
        <f t="shared" si="26"/>
        <v>0.3722222222222398</v>
      </c>
      <c r="X81" s="882">
        <f t="shared" si="30"/>
        <v>106.45555555556058</v>
      </c>
      <c r="AL81" s="869"/>
      <c r="AM81" s="869"/>
      <c r="AN81" s="869"/>
      <c r="AO81" s="869"/>
      <c r="AP81" s="869"/>
      <c r="AQ81" s="869"/>
      <c r="AR81" s="869"/>
      <c r="AS81" s="869"/>
      <c r="AT81" s="869"/>
      <c r="AU81" s="869"/>
      <c r="AV81" s="869"/>
      <c r="AW81" s="869"/>
      <c r="AX81" s="869"/>
    </row>
    <row r="82" spans="8:8" customHeight="1">
      <c r="E82" s="948">
        <f t="shared" si="32" ref="E82">F80+0.001</f>
        <v>-15.999</v>
      </c>
      <c r="F82" s="948">
        <v>-20.0</v>
      </c>
      <c r="G82" s="948">
        <v>1.02</v>
      </c>
      <c r="H82" s="948">
        <v>0.976</v>
      </c>
      <c r="I82" s="967">
        <v>0.932</v>
      </c>
      <c r="J82" s="967">
        <v>0.888</v>
      </c>
      <c r="K82" s="967">
        <v>0.855</v>
      </c>
      <c r="L82" s="967">
        <v>0.82</v>
      </c>
      <c r="M82" s="949">
        <f>G82*($M$10-$B$10)*($M$10-$B$12)*($M$10-$B$13)*($M$10-$B$14)*($M$10-$B$15)/(($B$8-$B$10)*($B$8-$B$12)*($B$8-$B$13)*($B$8-$B$14)*($B$8-$B$15))+H82*($M$10-$B$8)*($M$10-$B$12)*($M$10-$B$13)*($M$10-$B$14)*($M$10-$B$15)/(($B$10-$B$8)*($B$10-$B$12)*($B$10-$B$13)*($B$10-$B$14)*($B$10-$B$15))+I82*($M$10-$B$8)*($M$10-$B$10)*($M$10-$B$13)*($M$10-$B$14)*($M$10-$B$15)/(($B$12-$B$8)*($B$12-$B$10)*($B$12-$B$13)*($B$12-$B$14)*($B$12-$B$15))+J82*($M$10-$B$8)*($M$10-$B$10)*($M$10-$B$12)*($M$10-$B$14)*($M$10-$B$15)/(($B$13-$B$8)*($B$13-$B$10)*($B$13-$B$12)*($B$13-$B$14)*($B$13-$B$15))+K82*($M$10-$B$8)*($M$10-$B$10)*($M$10-$B$12)*($M$10-$B$13)*($M$10-$B$15)/(($B$14-$B$8)*($B$14-$B$10)*($B$14-$B$12)*($B$14-$B$13)*($B$14-$B$15))+L82*($M$10-$B$8)*($M$10-$B$10)*($M$10-$B$12)*($M$10-$B$13)*($M$10-$B$14)/(($B$15-$B$8)*($B$15-$B$10)*($B$15-$B$12)*($B$15-$B$13)*($B$15-$B$14))</f>
        <v>1.0400304393028714</v>
      </c>
      <c r="W82" s="867">
        <f t="shared" si="26"/>
        <v>0.37500000000001776</v>
      </c>
      <c r="X82" s="868">
        <f>$D$1*W82</f>
        <v>107.25000000000509</v>
      </c>
      <c r="AL82" s="869"/>
      <c r="AM82" s="869"/>
      <c r="AN82" s="869"/>
      <c r="AO82" s="869"/>
      <c r="AP82" s="869"/>
      <c r="AQ82" s="869"/>
      <c r="AR82" s="869"/>
      <c r="AS82" s="869"/>
      <c r="AT82" s="869"/>
      <c r="AU82" s="869"/>
      <c r="AV82" s="869"/>
      <c r="AW82" s="869"/>
      <c r="AX82" s="869"/>
    </row>
    <row r="83" spans="8:8" customHeight="1">
      <c r="E83" s="948"/>
      <c r="F83" s="948"/>
      <c r="G83" s="948"/>
      <c r="H83" s="948"/>
      <c r="I83" s="968"/>
      <c r="J83" s="968"/>
      <c r="K83" s="968"/>
      <c r="L83" s="968"/>
      <c r="M83" s="949"/>
      <c r="N83" s="940"/>
      <c r="W83" s="881">
        <f t="shared" si="26"/>
        <v>0.37777777777779575</v>
      </c>
      <c r="X83" s="882">
        <f>$D$1*W83</f>
        <v>108.04444444444958</v>
      </c>
      <c r="AL83" s="869"/>
      <c r="AM83" s="869"/>
      <c r="AN83" s="869"/>
      <c r="AO83" s="869"/>
      <c r="AP83" s="869"/>
      <c r="AQ83" s="869"/>
      <c r="AR83" s="869"/>
      <c r="AS83" s="869"/>
      <c r="AT83" s="869"/>
      <c r="AU83" s="869"/>
      <c r="AV83" s="869"/>
      <c r="AW83" s="869"/>
      <c r="AX83" s="869"/>
    </row>
    <row r="84" spans="8:8" customHeight="1">
      <c r="E84" s="948">
        <f t="shared" si="33" ref="E84">F82+0.001</f>
        <v>-19.999</v>
      </c>
      <c r="F84" s="948">
        <v>-59.0</v>
      </c>
      <c r="G84" s="948">
        <v>1.02</v>
      </c>
      <c r="H84" s="948">
        <v>0.974</v>
      </c>
      <c r="I84" s="948">
        <v>0.928</v>
      </c>
      <c r="J84" s="948">
        <v>0.882</v>
      </c>
      <c r="K84" s="948">
        <v>0.836</v>
      </c>
      <c r="L84" s="948">
        <v>0.79</v>
      </c>
      <c r="M84" s="949">
        <f>G84*($M$10-$B$10)*($M$10-$B$12)*($M$10-$B$13)*($M$10-$B$14)*($M$10-$B$15)/(($B$8-$B$10)*($B$8-$B$12)*($B$8-$B$13)*($B$8-$B$14)*($B$8-$B$15))+H84*($M$10-$B$8)*($M$10-$B$12)*($M$10-$B$13)*($M$10-$B$14)*($M$10-$B$15)/(($B$10-$B$8)*($B$10-$B$12)*($B$10-$B$13)*($B$10-$B$14)*($B$10-$B$15))+I84*($M$10-$B$8)*($M$10-$B$10)*($M$10-$B$13)*($M$10-$B$14)*($M$10-$B$15)/(($B$12-$B$8)*($B$12-$B$10)*($B$12-$B$13)*($B$12-$B$14)*($B$12-$B$15))+J84*($M$10-$B$8)*($M$10-$B$10)*($M$10-$B$12)*($M$10-$B$14)*($M$10-$B$15)/(($B$13-$B$8)*($B$13-$B$10)*($B$13-$B$12)*($B$13-$B$14)*($B$13-$B$15))+K84*($M$10-$B$8)*($M$10-$B$10)*($M$10-$B$12)*($M$10-$B$13)*($M$10-$B$15)/(($B$14-$B$8)*($B$14-$B$10)*($B$14-$B$12)*($B$14-$B$13)*($B$14-$B$15))+L84*($M$10-$B$8)*($M$10-$B$10)*($M$10-$B$12)*($M$10-$B$13)*($M$10-$B$14)/(($B$15-$B$8)*($B$15-$B$10)*($B$15-$B$12)*($B$15-$B$13)*($B$15-$B$14))</f>
        <v>1.0349820531264082</v>
      </c>
      <c r="N84" s="940"/>
      <c r="W84" s="881">
        <f t="shared" si="26"/>
        <v>0.38055555555557374</v>
      </c>
      <c r="X84" s="882">
        <f t="shared" si="34" ref="X84:X90">$D$1*W84</f>
        <v>108.83888888889409</v>
      </c>
      <c r="AL84" s="869"/>
      <c r="AM84" s="869"/>
      <c r="AN84" s="869"/>
      <c r="AO84" s="869"/>
      <c r="AP84" s="869"/>
      <c r="AQ84" s="869"/>
      <c r="AR84" s="869"/>
      <c r="AS84" s="869"/>
      <c r="AT84" s="869"/>
      <c r="AU84" s="869"/>
      <c r="AV84" s="869"/>
      <c r="AW84" s="869"/>
      <c r="AX84" s="869"/>
    </row>
    <row r="85" spans="8:8" customHeight="1">
      <c r="E85" s="948"/>
      <c r="F85" s="948"/>
      <c r="G85" s="948"/>
      <c r="H85" s="948"/>
      <c r="I85" s="948"/>
      <c r="J85" s="948"/>
      <c r="K85" s="948"/>
      <c r="L85" s="948"/>
      <c r="M85" s="949"/>
      <c r="N85" s="940"/>
      <c r="W85" s="881">
        <f t="shared" si="26"/>
        <v>0.3833333333333518</v>
      </c>
      <c r="X85" s="882">
        <f t="shared" si="34"/>
        <v>109.63333333333861</v>
      </c>
      <c r="AL85" s="869"/>
      <c r="AM85" s="869"/>
      <c r="AN85" s="869"/>
      <c r="AO85" s="869"/>
      <c r="AP85" s="869"/>
      <c r="AQ85" s="869"/>
      <c r="AR85" s="869"/>
      <c r="AS85" s="869"/>
      <c r="AT85" s="869"/>
      <c r="AU85" s="869"/>
      <c r="AV85" s="869"/>
      <c r="AW85" s="869"/>
      <c r="AX85" s="869"/>
    </row>
    <row r="86" spans="8:8" customHeight="1">
      <c r="E86" s="852"/>
      <c r="N86" s="940"/>
      <c r="W86" s="881">
        <f t="shared" si="26"/>
        <v>0.3861111111111298</v>
      </c>
      <c r="X86" s="882">
        <f t="shared" si="34"/>
        <v>110.42777777778312</v>
      </c>
      <c r="AK86" s="869"/>
      <c r="AL86" s="869"/>
      <c r="AM86" s="869"/>
      <c r="AN86" s="869"/>
      <c r="AO86" s="869"/>
      <c r="AP86" s="869"/>
      <c r="AQ86" s="869"/>
      <c r="AR86" s="869"/>
      <c r="AS86" s="869"/>
      <c r="AT86" s="869"/>
      <c r="AU86" s="869"/>
      <c r="AV86" s="869"/>
      <c r="AW86" s="869"/>
      <c r="AX86" s="869"/>
    </row>
    <row r="87" spans="8:8" customHeight="1">
      <c r="I87" s="939" t="s">
        <v>208</v>
      </c>
      <c r="M87" s="940"/>
      <c r="W87" s="881">
        <f t="shared" si="26"/>
        <v>0.38888888888890777</v>
      </c>
      <c r="X87" s="882">
        <f t="shared" si="34"/>
        <v>111.22222222222763</v>
      </c>
      <c r="AK87" s="869"/>
      <c r="AL87" s="869"/>
      <c r="AM87" s="869"/>
      <c r="AN87" s="869"/>
      <c r="AO87" s="869"/>
      <c r="AP87" s="869"/>
      <c r="AQ87" s="869"/>
      <c r="AR87" s="869"/>
      <c r="AS87" s="869"/>
      <c r="AT87" s="869"/>
      <c r="AU87" s="869"/>
      <c r="AV87" s="869"/>
      <c r="AW87" s="869"/>
      <c r="AX87" s="869"/>
    </row>
    <row r="88" spans="8:8" customHeight="1">
      <c r="C88" s="323"/>
      <c r="E88" s="941" t="s">
        <v>251</v>
      </c>
      <c r="F88" s="941"/>
      <c r="G88" s="913">
        <v>0.7</v>
      </c>
      <c r="H88" s="913">
        <v>0.6</v>
      </c>
      <c r="I88" s="913">
        <v>0.5</v>
      </c>
      <c r="J88" s="913">
        <v>0.4</v>
      </c>
      <c r="K88" s="913">
        <v>0.3</v>
      </c>
      <c r="L88" s="913">
        <v>0.2</v>
      </c>
      <c r="M88" s="942" t="s">
        <v>210</v>
      </c>
      <c r="N88" s="940"/>
      <c r="W88" s="881">
        <f t="shared" si="26"/>
        <v>0.39166666666668576</v>
      </c>
      <c r="X88" s="882">
        <f t="shared" si="34"/>
        <v>112.01666666667212</v>
      </c>
      <c r="AK88" s="869"/>
      <c r="AL88" s="869"/>
      <c r="AM88" s="869"/>
      <c r="AN88" s="869"/>
      <c r="AO88" s="869"/>
      <c r="AP88" s="869"/>
      <c r="AQ88" s="869"/>
      <c r="AR88" s="869"/>
      <c r="AS88" s="869"/>
      <c r="AT88" s="869"/>
      <c r="AU88" s="869"/>
      <c r="AV88" s="869"/>
      <c r="AW88" s="869"/>
      <c r="AX88" s="869"/>
    </row>
    <row r="89" spans="8:8" customHeight="1">
      <c r="C89" s="323"/>
      <c r="E89" s="941"/>
      <c r="F89" s="941"/>
      <c r="G89" s="946">
        <v>1.0</v>
      </c>
      <c r="H89" s="946">
        <v>2.0</v>
      </c>
      <c r="I89" s="946">
        <v>3.0</v>
      </c>
      <c r="J89" s="946">
        <v>4.0</v>
      </c>
      <c r="K89" s="946">
        <v>5.0</v>
      </c>
      <c r="L89" s="944">
        <v>6.0</v>
      </c>
      <c r="M89" s="947"/>
      <c r="N89" s="940"/>
      <c r="W89" s="881">
        <f t="shared" si="26"/>
        <v>0.39444444444446375</v>
      </c>
      <c r="X89" s="882">
        <f t="shared" si="34"/>
        <v>112.81111111111663</v>
      </c>
      <c r="AK89" s="869"/>
      <c r="AL89" s="869"/>
      <c r="AM89" s="869"/>
      <c r="AN89" s="869"/>
      <c r="AO89" s="869"/>
      <c r="AP89" s="869"/>
      <c r="AQ89" s="869"/>
      <c r="AR89" s="869"/>
      <c r="AS89" s="869"/>
      <c r="AT89" s="869"/>
      <c r="AU89" s="869"/>
      <c r="AV89" s="869"/>
      <c r="AW89" s="869"/>
      <c r="AX89" s="869"/>
    </row>
    <row r="90" spans="8:8" ht="13.5" customHeight="1">
      <c r="C90" s="323"/>
      <c r="E90" s="969">
        <v>0.01</v>
      </c>
      <c r="F90" s="969">
        <v>-2.0</v>
      </c>
      <c r="G90" s="970">
        <f>L76</f>
        <v>0.92</v>
      </c>
      <c r="H90" s="969">
        <v>0.82</v>
      </c>
      <c r="I90" s="969">
        <v>0.79</v>
      </c>
      <c r="J90" s="969">
        <v>0.76</v>
      </c>
      <c r="K90" s="969">
        <v>0.73</v>
      </c>
      <c r="L90" s="969">
        <v>0.7</v>
      </c>
      <c r="M90" s="971">
        <f>G90*($M$10-$B$16)*($M$10-$B$17)*($M$10-$B$18)*($M$10-$B$19)*($M$10-$B$20)/(($B$15-$B$16)*($B$15-$B$17)*($B$15-$B$18)*($B$15-$B$19)*($B$15-$B$20))+H90*($M$10-$B$15)*($M$10-$B$17)*($M$10-$B$18)*($M$10-$B$19)*($M$10-$B$20)/(($B$16-$B$15)*($B$16-$B$17)*($B$16-$B$18)*($B$16-$B$19)*($B$16-$B$20))+I90*($M$10-$B$15)*($M$10-$B$16)*($M$10-$B$18)*($M$10-$B$19)*($M$10-$B$20)/(($B$17-$B$15)*($B$17-$B$16)*($B$17-$B$18)*($B$17-$B$19)*($B$17-$B$20))+J90*($M$10-$B$15)*($M$10-$B$16)*($M$10-$B$17)*($M$10-$B$19)*($M$10-$B$20)/(($B$18-$B$15)*($B$18-$B$16)*($B$18-$B$17)*($B$18-$B$19)*($B$18-$B$20))+K90*($M$10-$B$15)*($M$10-$B$16)*($M$10-$B$17)*($M$10-$B$18)*($M$10-$B$20)/(($B$19-$B$15)*($B$19-$B$16)*($B$19-$B$17)*($B$19-$B$18)*($B$19-$B$20))+L90*($M$10-$B$15)*($M$10-$B$16)*($M$10-$B$17)*($M$10-$B$18)*($M$10-$B$19)/(($B$20-$B$15)*($B$20-$B$16)*($B$20-$B$17)*($B$20-$B$18)*($B$20-$B$19))</f>
        <v>11.081855735504007</v>
      </c>
      <c r="N90" s="940"/>
      <c r="W90" s="881">
        <f t="shared" si="26"/>
        <v>0.3972222222222418</v>
      </c>
      <c r="X90" s="882">
        <f t="shared" si="34"/>
        <v>113.60555555556115</v>
      </c>
      <c r="AK90" s="869"/>
      <c r="AL90" s="869"/>
      <c r="AM90" s="869"/>
      <c r="AN90" s="869"/>
      <c r="AO90" s="869"/>
      <c r="AP90" s="869"/>
      <c r="AQ90" s="869"/>
      <c r="AR90" s="869"/>
      <c r="AS90" s="869"/>
      <c r="AT90" s="869"/>
      <c r="AU90" s="869"/>
      <c r="AV90" s="869"/>
      <c r="AW90" s="869"/>
      <c r="AX90" s="869"/>
    </row>
    <row r="91" spans="8:8" ht="13.5" customHeight="1">
      <c r="E91" s="969"/>
      <c r="F91" s="969"/>
      <c r="G91" s="970"/>
      <c r="H91" s="969"/>
      <c r="I91" s="969"/>
      <c r="J91" s="969"/>
      <c r="K91" s="969"/>
      <c r="L91" s="969"/>
      <c r="M91" s="971"/>
      <c r="N91" s="407"/>
      <c r="W91" s="867">
        <f t="shared" si="26"/>
        <v>0.4000000000000198</v>
      </c>
      <c r="X91" s="868">
        <f>$D$1*W91</f>
        <v>114.40000000000566</v>
      </c>
      <c r="AK91" s="869"/>
      <c r="AL91" s="869"/>
      <c r="AM91" s="869"/>
      <c r="AN91" s="869"/>
      <c r="AO91" s="869"/>
      <c r="AP91" s="869"/>
      <c r="AQ91" s="869"/>
      <c r="AR91" s="869"/>
      <c r="AS91" s="869"/>
      <c r="AT91" s="869"/>
      <c r="AU91" s="869"/>
      <c r="AV91" s="869"/>
      <c r="AW91" s="869"/>
      <c r="AX91" s="869"/>
    </row>
    <row r="92" spans="8:8" ht="13.5" customHeight="1">
      <c r="E92" s="969">
        <f>F90+0.001</f>
        <v>-1.999</v>
      </c>
      <c r="F92" s="969">
        <v>-4.0</v>
      </c>
      <c r="G92" s="970">
        <f t="shared" si="35" ref="G92">L78</f>
        <v>0.9</v>
      </c>
      <c r="H92" s="969">
        <v>0.82</v>
      </c>
      <c r="I92" s="969">
        <v>0.79</v>
      </c>
      <c r="J92" s="969">
        <v>0.76</v>
      </c>
      <c r="K92" s="969">
        <v>0.73</v>
      </c>
      <c r="L92" s="969">
        <v>0.7</v>
      </c>
      <c r="M92" s="971">
        <f>G92*($M$10-$B$16)*($M$10-$B$17)*($M$10-$B$18)*($M$10-$B$19)*($M$10-$B$20)/(($B$15-$B$16)*($B$15-$B$17)*($B$15-$B$18)*($B$15-$B$19)*($B$15-$B$20))+H92*($M$10-$B$15)*($M$10-$B$17)*($M$10-$B$18)*($M$10-$B$19)*($M$10-$B$20)/(($B$16-$B$15)*($B$16-$B$17)*($B$16-$B$18)*($B$16-$B$19)*($B$16-$B$20))+I92*($M$10-$B$15)*($M$10-$B$16)*($M$10-$B$18)*($M$10-$B$19)*($M$10-$B$20)/(($B$17-$B$15)*($B$17-$B$16)*($B$17-$B$18)*($B$17-$B$19)*($B$17-$B$20))+J92*($M$10-$B$15)*($M$10-$B$16)*($M$10-$B$17)*($M$10-$B$19)*($M$10-$B$20)/(($B$18-$B$15)*($B$18-$B$16)*($B$18-$B$17)*($B$18-$B$19)*($B$18-$B$20))+K92*($M$10-$B$15)*($M$10-$B$16)*($M$10-$B$17)*($M$10-$B$18)*($M$10-$B$20)/(($B$19-$B$15)*($B$19-$B$16)*($B$19-$B$17)*($B$19-$B$18)*($B$19-$B$20))+L92*($M$10-$B$15)*($M$10-$B$16)*($M$10-$B$17)*($M$10-$B$18)*($M$10-$B$19)/(($B$20-$B$15)*($B$20-$B$16)*($B$20-$B$17)*($B$20-$B$18)*($B$20-$B$19))</f>
        <v>8.214354648319002</v>
      </c>
      <c r="W92" s="881">
        <f t="shared" si="26"/>
        <v>0.4027777777777978</v>
      </c>
      <c r="X92" s="882">
        <f>$D$1*W92</f>
        <v>115.19444444445017</v>
      </c>
      <c r="AK92" s="869"/>
      <c r="AL92" s="869"/>
      <c r="AM92" s="869"/>
      <c r="AN92" s="869"/>
      <c r="AO92" s="869"/>
      <c r="AP92" s="869"/>
      <c r="AQ92" s="869"/>
      <c r="AR92" s="869"/>
      <c r="AS92" s="869"/>
      <c r="AT92" s="869"/>
      <c r="AU92" s="869"/>
      <c r="AV92" s="869"/>
      <c r="AW92" s="869"/>
      <c r="AX92" s="869"/>
    </row>
    <row r="93" spans="8:8" customHeight="1">
      <c r="E93" s="969"/>
      <c r="F93" s="969"/>
      <c r="G93" s="970"/>
      <c r="H93" s="969"/>
      <c r="I93" s="969"/>
      <c r="J93" s="969"/>
      <c r="K93" s="969"/>
      <c r="L93" s="969"/>
      <c r="M93" s="971"/>
      <c r="W93" s="881">
        <f t="shared" si="26"/>
        <v>0.40555555555557576</v>
      </c>
      <c r="X93" s="882">
        <f t="shared" si="36" ref="X93:X99">$D$1*W93</f>
        <v>115.98888888889466</v>
      </c>
      <c r="AK93" s="869"/>
      <c r="AL93" s="869"/>
      <c r="AM93" s="869"/>
      <c r="AN93" s="869"/>
      <c r="AO93" s="869"/>
      <c r="AP93" s="869"/>
      <c r="AQ93" s="869"/>
      <c r="AR93" s="869"/>
      <c r="AS93" s="869"/>
      <c r="AT93" s="869"/>
      <c r="AU93" s="869"/>
      <c r="AV93" s="869"/>
      <c r="AW93" s="869"/>
      <c r="AX93" s="869"/>
    </row>
    <row r="94" spans="8:8" customHeight="1">
      <c r="E94" s="969">
        <f t="shared" si="37" ref="E94">F92+0.001</f>
        <v>-3.999</v>
      </c>
      <c r="F94" s="969">
        <v>-6.0</v>
      </c>
      <c r="G94" s="970">
        <f t="shared" si="38" ref="G94">L80</f>
        <v>0.844</v>
      </c>
      <c r="H94" s="969">
        <v>0.82</v>
      </c>
      <c r="I94" s="969">
        <v>0.79</v>
      </c>
      <c r="J94" s="969">
        <v>0.76</v>
      </c>
      <c r="K94" s="969">
        <v>0.73</v>
      </c>
      <c r="L94" s="969">
        <v>0.7</v>
      </c>
      <c r="M94" s="971">
        <f>G94*($M$10-$B$16)*($M$10-$B$17)*($M$10-$B$18)*($M$10-$B$19)*($M$10-$B$20)/(($B$15-$B$16)*($B$15-$B$17)*($B$15-$B$18)*($B$15-$B$19)*($B$15-$B$20))+H94*($M$10-$B$15)*($M$10-$B$17)*($M$10-$B$18)*($M$10-$B$19)*($M$10-$B$20)/(($B$16-$B$15)*($B$16-$B$17)*($B$16-$B$18)*($B$16-$B$19)*($B$16-$B$20))+I94*($M$10-$B$15)*($M$10-$B$16)*($M$10-$B$18)*($M$10-$B$19)*($M$10-$B$20)/(($B$17-$B$15)*($B$17-$B$16)*($B$17-$B$18)*($B$17-$B$19)*($B$17-$B$20))+J94*($M$10-$B$15)*($M$10-$B$16)*($M$10-$B$17)*($M$10-$B$19)*($M$10-$B$20)/(($B$18-$B$15)*($B$18-$B$16)*($B$18-$B$17)*($B$18-$B$19)*($B$18-$B$20))+K94*($M$10-$B$15)*($M$10-$B$16)*($M$10-$B$17)*($M$10-$B$18)*($M$10-$B$20)/(($B$19-$B$15)*($B$19-$B$16)*($B$19-$B$17)*($B$19-$B$18)*($B$19-$B$20))+L94*($M$10-$B$15)*($M$10-$B$16)*($M$10-$B$17)*($M$10-$B$18)*($M$10-$B$19)/(($B$20-$B$15)*($B$20-$B$16)*($B$20-$B$17)*($B$20-$B$18)*($B$20-$B$19))</f>
        <v>0.1853516042019976</v>
      </c>
      <c r="W94" s="881">
        <f t="shared" si="26"/>
        <v>0.40833333333335375</v>
      </c>
      <c r="X94" s="882">
        <f t="shared" si="36"/>
        <v>116.78333333333917</v>
      </c>
      <c r="AK94" s="869"/>
      <c r="AL94" s="869"/>
      <c r="AM94" s="869"/>
      <c r="AN94" s="869"/>
      <c r="AO94" s="869"/>
      <c r="AP94" s="869"/>
      <c r="AQ94" s="869"/>
      <c r="AR94" s="869"/>
      <c r="AS94" s="869"/>
      <c r="AT94" s="869"/>
      <c r="AU94" s="869"/>
      <c r="AV94" s="869"/>
      <c r="AW94" s="869"/>
      <c r="AX94" s="869"/>
    </row>
    <row r="95" spans="8:8" customHeight="1">
      <c r="E95" s="969"/>
      <c r="F95" s="969"/>
      <c r="G95" s="970"/>
      <c r="H95" s="969"/>
      <c r="I95" s="969"/>
      <c r="J95" s="969"/>
      <c r="K95" s="969"/>
      <c r="L95" s="969"/>
      <c r="M95" s="971"/>
      <c r="W95" s="881">
        <f t="shared" si="26"/>
        <v>0.41111111111113174</v>
      </c>
      <c r="X95" s="882">
        <f t="shared" si="36"/>
        <v>117.57777777778368</v>
      </c>
      <c r="AK95" s="869"/>
      <c r="AL95" s="869"/>
      <c r="AM95" s="869"/>
      <c r="AN95" s="869"/>
      <c r="AO95" s="869"/>
      <c r="AP95" s="869"/>
      <c r="AQ95" s="869"/>
      <c r="AR95" s="869"/>
      <c r="AS95" s="869"/>
      <c r="AT95" s="869"/>
      <c r="AU95" s="869"/>
      <c r="AV95" s="869"/>
      <c r="AW95" s="869"/>
      <c r="AX95" s="869"/>
    </row>
    <row r="96" spans="8:8" customHeight="1">
      <c r="E96" s="969">
        <f t="shared" si="39" ref="E96">F94+0.001</f>
        <v>-5.999</v>
      </c>
      <c r="F96" s="969">
        <v>-8.0</v>
      </c>
      <c r="G96" s="970">
        <f t="shared" si="40" ref="G96">L82</f>
        <v>0.82</v>
      </c>
      <c r="H96" s="969">
        <v>0.82</v>
      </c>
      <c r="I96" s="969">
        <v>0.79</v>
      </c>
      <c r="J96" s="969">
        <v>0.76</v>
      </c>
      <c r="K96" s="969">
        <v>0.73</v>
      </c>
      <c r="L96" s="969">
        <v>0.7</v>
      </c>
      <c r="M96" s="971">
        <f>G96*($M$10-$B$16)*($M$10-$B$17)*($M$10-$B$18)*($M$10-$B$19)*($M$10-$B$20)/(($B$15-$B$16)*($B$15-$B$17)*($B$15-$B$18)*($B$15-$B$19)*($B$15-$B$20))+H96*($M$10-$B$15)*($M$10-$B$17)*($M$10-$B$18)*($M$10-$B$19)*($M$10-$B$20)/(($B$16-$B$15)*($B$16-$B$17)*($B$16-$B$18)*($B$16-$B$19)*($B$16-$B$20))+I96*($M$10-$B$15)*($M$10-$B$16)*($M$10-$B$18)*($M$10-$B$19)*($M$10-$B$20)/(($B$17-$B$15)*($B$17-$B$16)*($B$17-$B$18)*($B$17-$B$19)*($B$17-$B$20))+J96*($M$10-$B$15)*($M$10-$B$16)*($M$10-$B$17)*($M$10-$B$19)*($M$10-$B$20)/(($B$18-$B$15)*($B$18-$B$16)*($B$18-$B$17)*($B$18-$B$19)*($B$18-$B$20))+K96*($M$10-$B$15)*($M$10-$B$16)*($M$10-$B$17)*($M$10-$B$18)*($M$10-$B$20)/(($B$19-$B$15)*($B$19-$B$16)*($B$19-$B$17)*($B$19-$B$18)*($B$19-$B$20))+L96*($M$10-$B$15)*($M$10-$B$16)*($M$10-$B$17)*($M$10-$B$18)*($M$10-$B$19)/(($B$20-$B$15)*($B$20-$B$16)*($B$20-$B$17)*($B$20-$B$18)*($B$20-$B$19))</f>
        <v>-3.2556497004190987</v>
      </c>
      <c r="W96" s="881">
        <f t="shared" si="26"/>
        <v>0.4138888888889098</v>
      </c>
      <c r="X96" s="882">
        <f t="shared" si="36"/>
        <v>118.3722222222282</v>
      </c>
      <c r="AK96" s="869"/>
      <c r="AL96" s="869"/>
      <c r="AM96" s="869"/>
      <c r="AN96" s="869"/>
      <c r="AO96" s="869"/>
      <c r="AP96" s="869"/>
      <c r="AQ96" s="869"/>
      <c r="AR96" s="869"/>
      <c r="AS96" s="869"/>
      <c r="AT96" s="869"/>
      <c r="AU96" s="869"/>
      <c r="AV96" s="869"/>
      <c r="AW96" s="869"/>
      <c r="AX96" s="869"/>
    </row>
    <row r="97" spans="8:8" customHeight="1">
      <c r="E97" s="969"/>
      <c r="F97" s="969"/>
      <c r="G97" s="970"/>
      <c r="H97" s="969"/>
      <c r="I97" s="969"/>
      <c r="J97" s="969"/>
      <c r="K97" s="969"/>
      <c r="L97" s="969"/>
      <c r="M97" s="971"/>
      <c r="W97" s="881">
        <f t="shared" si="26"/>
        <v>0.4166666666666878</v>
      </c>
      <c r="X97" s="882">
        <f t="shared" si="36"/>
        <v>119.16666666667271</v>
      </c>
      <c r="AJ97" s="869"/>
      <c r="AK97" s="869"/>
      <c r="AL97" s="869"/>
      <c r="AM97" s="869"/>
      <c r="AN97" s="869"/>
      <c r="AO97" s="869"/>
      <c r="AP97" s="869"/>
      <c r="AQ97" s="869"/>
      <c r="AR97" s="869"/>
      <c r="AS97" s="869"/>
      <c r="AT97" s="869"/>
      <c r="AU97" s="869"/>
      <c r="AV97" s="869"/>
      <c r="AW97" s="869"/>
      <c r="AX97" s="869"/>
    </row>
    <row r="98" spans="8:8" customHeight="1">
      <c r="E98" s="969">
        <f t="shared" si="41" ref="E98">F96+0.001</f>
        <v>-7.999</v>
      </c>
      <c r="F98" s="969">
        <v>-10.0</v>
      </c>
      <c r="G98" s="970">
        <f t="shared" si="42" ref="G98">L84</f>
        <v>0.79</v>
      </c>
      <c r="H98" s="969">
        <v>0.82</v>
      </c>
      <c r="I98" s="969">
        <v>0.79</v>
      </c>
      <c r="J98" s="969">
        <v>0.76</v>
      </c>
      <c r="K98" s="969">
        <v>0.73</v>
      </c>
      <c r="L98" s="969">
        <v>0.7</v>
      </c>
      <c r="M98" s="971">
        <f>G98*($M$10-$B$16)*($M$10-$B$17)*($M$10-$B$18)*($M$10-$B$19)*($M$10-$B$20)/(($B$15-$B$16)*($B$15-$B$17)*($B$15-$B$18)*($B$15-$B$19)*($B$15-$B$20))+H98*($M$10-$B$15)*($M$10-$B$17)*($M$10-$B$18)*($M$10-$B$19)*($M$10-$B$20)/(($B$16-$B$15)*($B$16-$B$17)*($B$16-$B$18)*($B$16-$B$19)*($B$16-$B$20))+I98*($M$10-$B$15)*($M$10-$B$16)*($M$10-$B$18)*($M$10-$B$19)*($M$10-$B$20)/(($B$17-$B$15)*($B$17-$B$16)*($B$17-$B$18)*($B$17-$B$19)*($B$17-$B$20))+J98*($M$10-$B$15)*($M$10-$B$16)*($M$10-$B$17)*($M$10-$B$19)*($M$10-$B$20)/(($B$18-$B$15)*($B$18-$B$16)*($B$18-$B$17)*($B$18-$B$19)*($B$18-$B$20))+K98*($M$10-$B$15)*($M$10-$B$16)*($M$10-$B$17)*($M$10-$B$18)*($M$10-$B$20)/(($B$19-$B$15)*($B$19-$B$16)*($B$19-$B$17)*($B$19-$B$18)*($B$19-$B$20))+L98*($M$10-$B$15)*($M$10-$B$16)*($M$10-$B$17)*($M$10-$B$18)*($M$10-$B$19)/(($B$20-$B$15)*($B$20-$B$16)*($B$20-$B$17)*($B$20-$B$18)*($B$20-$B$19))</f>
        <v>-7.5569013311961015</v>
      </c>
      <c r="W98" s="881">
        <f t="shared" si="26"/>
        <v>0.41944444444446577</v>
      </c>
      <c r="X98" s="882">
        <f t="shared" si="36"/>
        <v>119.9611111111172</v>
      </c>
      <c r="AC98" s="859"/>
      <c r="AD98" s="859"/>
      <c r="AE98" s="869"/>
      <c r="AF98" s="869"/>
      <c r="AG98" s="869"/>
      <c r="AH98" s="869"/>
      <c r="AI98" s="869"/>
      <c r="AJ98" s="869"/>
      <c r="AK98" s="869"/>
      <c r="AL98" s="869"/>
      <c r="AM98" s="869"/>
      <c r="AN98" s="869"/>
      <c r="AO98" s="869"/>
      <c r="AP98" s="869"/>
      <c r="AQ98" s="869"/>
      <c r="AR98" s="869"/>
      <c r="AS98" s="869"/>
      <c r="AT98" s="869"/>
      <c r="AU98" s="869"/>
      <c r="AV98" s="869"/>
      <c r="AW98" s="869"/>
      <c r="AX98" s="869"/>
    </row>
    <row r="99" spans="8:8" customHeight="1">
      <c r="E99" s="969"/>
      <c r="F99" s="969"/>
      <c r="G99" s="970"/>
      <c r="H99" s="969"/>
      <c r="I99" s="969"/>
      <c r="J99" s="969"/>
      <c r="K99" s="969"/>
      <c r="L99" s="969"/>
      <c r="M99" s="971"/>
      <c r="W99" s="881">
        <f t="shared" si="26"/>
        <v>0.42222222222224376</v>
      </c>
      <c r="X99" s="882">
        <f t="shared" si="36"/>
        <v>120.75555555556171</v>
      </c>
      <c r="AC99" s="859"/>
      <c r="AD99" s="859"/>
      <c r="AE99" s="869"/>
      <c r="AF99" s="869"/>
      <c r="AG99" s="869"/>
      <c r="AH99" s="869"/>
      <c r="AI99" s="869"/>
      <c r="AJ99" s="869"/>
      <c r="AK99" s="869"/>
      <c r="AL99" s="869"/>
      <c r="AM99" s="869"/>
      <c r="AN99" s="869"/>
      <c r="AO99" s="869"/>
      <c r="AP99" s="869"/>
      <c r="AQ99" s="869"/>
      <c r="AR99" s="869"/>
      <c r="AS99" s="869"/>
      <c r="AT99" s="869"/>
      <c r="AU99" s="869"/>
      <c r="AV99" s="869"/>
      <c r="AW99" s="869"/>
      <c r="AX99" s="869"/>
    </row>
    <row r="100" spans="8:8" customHeight="1">
      <c r="W100" s="867">
        <f t="shared" si="26"/>
        <v>0.42500000000002175</v>
      </c>
      <c r="X100" s="868">
        <f>$D$1*W100</f>
        <v>121.55000000000622</v>
      </c>
      <c r="AC100" s="859"/>
      <c r="AD100" s="859"/>
      <c r="AE100" s="869"/>
      <c r="AF100" s="869"/>
      <c r="AG100" s="869"/>
      <c r="AH100" s="869"/>
      <c r="AI100" s="869"/>
      <c r="AJ100" s="869"/>
      <c r="AK100" s="869"/>
      <c r="AL100" s="869"/>
      <c r="AM100" s="869"/>
      <c r="AN100" s="869"/>
      <c r="AO100" s="869"/>
      <c r="AP100" s="869"/>
      <c r="AQ100" s="869"/>
      <c r="AR100" s="869"/>
      <c r="AS100" s="869"/>
      <c r="AT100" s="869"/>
      <c r="AU100" s="869"/>
      <c r="AV100" s="869"/>
      <c r="AW100" s="869"/>
      <c r="AX100" s="869"/>
    </row>
    <row r="101" spans="8:8" ht="13.5" customHeight="1">
      <c r="N101" s="940"/>
      <c r="W101" s="881">
        <f t="shared" si="26"/>
        <v>0.4277777777777998</v>
      </c>
      <c r="X101" s="882">
        <f>$D$1*W101</f>
        <v>122.34444444445074</v>
      </c>
      <c r="AC101" s="859"/>
      <c r="AD101" s="859"/>
      <c r="AE101" s="869"/>
      <c r="AF101" s="869"/>
      <c r="AG101" s="869"/>
      <c r="AH101" s="869"/>
      <c r="AI101" s="869"/>
      <c r="AJ101" s="869"/>
      <c r="AK101" s="869"/>
      <c r="AL101" s="869"/>
      <c r="AM101" s="869"/>
      <c r="AN101" s="869"/>
      <c r="AO101" s="869"/>
      <c r="AP101" s="869"/>
      <c r="AQ101" s="869"/>
      <c r="AR101" s="869"/>
      <c r="AS101" s="869"/>
      <c r="AT101" s="869"/>
      <c r="AU101" s="869"/>
      <c r="AV101" s="869"/>
      <c r="AW101" s="869"/>
      <c r="AX101" s="869"/>
    </row>
    <row r="102" spans="8:8" customHeight="1">
      <c r="N102" s="940"/>
      <c r="W102" s="881">
        <f t="shared" si="26"/>
        <v>0.4305555555555778</v>
      </c>
      <c r="X102" s="882">
        <f t="shared" si="43" ref="X102:X108">$D$1*W102</f>
        <v>123.13888888889525</v>
      </c>
      <c r="AC102" s="859"/>
      <c r="AD102" s="859"/>
      <c r="AE102" s="869"/>
      <c r="AF102" s="869"/>
      <c r="AG102" s="869"/>
      <c r="AH102" s="869"/>
      <c r="AI102" s="869"/>
      <c r="AJ102" s="869"/>
      <c r="AK102" s="869"/>
      <c r="AL102" s="869"/>
      <c r="AM102" s="869"/>
      <c r="AN102" s="869"/>
      <c r="AO102" s="869"/>
      <c r="AP102" s="869"/>
      <c r="AQ102" s="869"/>
      <c r="AR102" s="869"/>
      <c r="AS102" s="869"/>
      <c r="AT102" s="869"/>
      <c r="AU102" s="869"/>
      <c r="AV102" s="869"/>
      <c r="AW102" s="869"/>
      <c r="AX102" s="869"/>
    </row>
    <row r="103" spans="8:8" customHeight="1">
      <c r="N103" s="940"/>
      <c r="W103" s="881">
        <f t="shared" si="26"/>
        <v>0.4333333333333558</v>
      </c>
      <c r="X103" s="882">
        <f t="shared" si="43"/>
        <v>123.93333333333975</v>
      </c>
      <c r="AC103" s="859"/>
      <c r="AD103" s="859"/>
      <c r="AE103" s="869"/>
      <c r="AF103" s="869"/>
      <c r="AG103" s="869"/>
      <c r="AH103" s="869"/>
      <c r="AI103" s="869"/>
      <c r="AJ103" s="869"/>
      <c r="AK103" s="869"/>
      <c r="AL103" s="869"/>
      <c r="AM103" s="869"/>
      <c r="AN103" s="869"/>
      <c r="AO103" s="869"/>
      <c r="AP103" s="869"/>
      <c r="AQ103" s="869"/>
      <c r="AR103" s="869"/>
      <c r="AS103" s="869"/>
      <c r="AT103" s="869"/>
      <c r="AU103" s="869"/>
      <c r="AV103" s="869"/>
      <c r="AW103" s="869"/>
      <c r="AX103" s="869"/>
    </row>
    <row r="104" spans="8:8" customHeight="1">
      <c r="W104" s="881">
        <f t="shared" si="26"/>
        <v>0.43611111111113376</v>
      </c>
      <c r="X104" s="882">
        <f t="shared" si="43"/>
        <v>124.72777777778425</v>
      </c>
      <c r="AC104" s="859"/>
      <c r="AD104" s="859"/>
      <c r="AE104" s="869"/>
      <c r="AF104" s="869"/>
      <c r="AG104" s="869"/>
      <c r="AH104" s="869"/>
      <c r="AI104" s="869"/>
      <c r="AJ104" s="869"/>
      <c r="AK104" s="869"/>
      <c r="AL104" s="869"/>
      <c r="AM104" s="869"/>
      <c r="AN104" s="869"/>
      <c r="AO104" s="869"/>
      <c r="AP104" s="869"/>
      <c r="AQ104" s="869"/>
      <c r="AR104" s="869"/>
      <c r="AS104" s="869"/>
      <c r="AT104" s="869"/>
      <c r="AU104" s="869"/>
      <c r="AV104" s="869"/>
      <c r="AW104" s="869"/>
      <c r="AX104" s="869"/>
    </row>
    <row r="105" spans="8:8" ht="13.5" customHeight="1">
      <c r="W105" s="881">
        <f t="shared" si="26"/>
        <v>0.43888888888891175</v>
      </c>
      <c r="X105" s="882">
        <f t="shared" si="43"/>
        <v>125.52222222222876</v>
      </c>
      <c r="AC105" s="859"/>
      <c r="AD105" s="859"/>
      <c r="AE105" s="869"/>
      <c r="AF105" s="869"/>
      <c r="AG105" s="869"/>
      <c r="AH105" s="869"/>
      <c r="AI105" s="869"/>
      <c r="AJ105" s="869"/>
      <c r="AK105" s="869"/>
      <c r="AL105" s="869"/>
      <c r="AM105" s="869"/>
      <c r="AN105" s="869"/>
      <c r="AO105" s="869"/>
      <c r="AP105" s="869"/>
      <c r="AQ105" s="869"/>
      <c r="AR105" s="869"/>
      <c r="AS105" s="869"/>
      <c r="AT105" s="869"/>
      <c r="AU105" s="869"/>
      <c r="AV105" s="869"/>
      <c r="AW105" s="869"/>
      <c r="AX105" s="869"/>
    </row>
    <row r="106" spans="8:8" ht="13.5" customHeight="1">
      <c r="W106" s="881">
        <f t="shared" si="26"/>
        <v>0.44166666666668974</v>
      </c>
      <c r="X106" s="882">
        <f t="shared" si="43"/>
        <v>126.31666666667327</v>
      </c>
      <c r="AC106" s="859"/>
      <c r="AD106" s="859"/>
      <c r="AE106" s="869"/>
      <c r="AF106" s="869"/>
      <c r="AG106" s="869"/>
      <c r="AH106" s="869"/>
      <c r="AI106" s="869"/>
      <c r="AJ106" s="869"/>
      <c r="AK106" s="869"/>
      <c r="AL106" s="869"/>
      <c r="AM106" s="869"/>
      <c r="AN106" s="869"/>
      <c r="AO106" s="869"/>
      <c r="AP106" s="869"/>
      <c r="AQ106" s="869"/>
      <c r="AR106" s="869"/>
      <c r="AS106" s="869"/>
      <c r="AT106" s="869"/>
      <c r="AU106" s="869"/>
      <c r="AV106" s="869"/>
      <c r="AW106" s="869"/>
      <c r="AX106" s="869"/>
    </row>
    <row r="107" spans="8:8" ht="13.5" customHeight="1">
      <c r="W107" s="881">
        <f t="shared" si="26"/>
        <v>0.4444444444444678</v>
      </c>
      <c r="X107" s="882">
        <f t="shared" si="43"/>
        <v>127.1111111111178</v>
      </c>
      <c r="AC107" s="859"/>
      <c r="AD107" s="859"/>
      <c r="AE107" s="869"/>
      <c r="AF107" s="869"/>
      <c r="AG107" s="869"/>
      <c r="AH107" s="869"/>
      <c r="AI107" s="869"/>
      <c r="AJ107" s="869"/>
      <c r="AK107" s="869"/>
      <c r="AL107" s="869"/>
      <c r="AM107" s="869"/>
      <c r="AN107" s="869"/>
      <c r="AO107" s="869"/>
      <c r="AP107" s="869"/>
      <c r="AQ107" s="869"/>
      <c r="AR107" s="869"/>
      <c r="AS107" s="869"/>
      <c r="AT107" s="869"/>
      <c r="AU107" s="869"/>
      <c r="AV107" s="869"/>
      <c r="AW107" s="869"/>
      <c r="AX107" s="869"/>
    </row>
    <row r="108" spans="8:8" customHeight="1">
      <c r="W108" s="881">
        <f t="shared" si="26"/>
        <v>0.4472222222222458</v>
      </c>
      <c r="X108" s="882">
        <f t="shared" si="43"/>
        <v>127.90555555556229</v>
      </c>
      <c r="AC108" s="859"/>
      <c r="AD108" s="859"/>
      <c r="AE108" s="869"/>
      <c r="AF108" s="869"/>
      <c r="AG108" s="869"/>
      <c r="AH108" s="869"/>
      <c r="AI108" s="869"/>
      <c r="AJ108" s="869"/>
      <c r="AK108" s="869"/>
      <c r="AL108" s="869"/>
      <c r="AM108" s="869"/>
      <c r="AN108" s="869"/>
      <c r="AO108" s="869"/>
      <c r="AP108" s="869"/>
      <c r="AQ108" s="869"/>
      <c r="AR108" s="869"/>
      <c r="AS108" s="869"/>
      <c r="AT108" s="869"/>
      <c r="AU108" s="869"/>
      <c r="AV108" s="869"/>
      <c r="AW108" s="869"/>
      <c r="AX108" s="869"/>
    </row>
    <row r="109" spans="8:8" customHeight="1">
      <c r="W109" s="867">
        <f t="shared" si="26"/>
        <v>0.45000000000002377</v>
      </c>
      <c r="X109" s="868">
        <f>$D$1*W109</f>
        <v>128.7000000000068</v>
      </c>
      <c r="AC109" s="859"/>
      <c r="AD109" s="859"/>
      <c r="AE109" s="869"/>
      <c r="AF109" s="869"/>
      <c r="AG109" s="869"/>
      <c r="AH109" s="869"/>
      <c r="AI109" s="869"/>
      <c r="AJ109" s="869"/>
      <c r="AK109" s="869"/>
      <c r="AL109" s="869"/>
      <c r="AM109" s="869"/>
      <c r="AN109" s="869"/>
      <c r="AO109" s="869"/>
      <c r="AP109" s="869"/>
      <c r="AQ109" s="869"/>
      <c r="AR109" s="869"/>
      <c r="AS109" s="869"/>
      <c r="AT109" s="869"/>
      <c r="AU109" s="869"/>
      <c r="AV109" s="869"/>
      <c r="AW109" s="869"/>
      <c r="AX109" s="869"/>
    </row>
    <row r="110" spans="8:8" customHeight="1">
      <c r="E110" s="852"/>
      <c r="Q110" s="859"/>
      <c r="R110" s="859"/>
      <c r="W110" s="881">
        <f t="shared" si="26"/>
        <v>0.45277777777780176</v>
      </c>
      <c r="X110" s="882">
        <f>$D$1*W110</f>
        <v>129.4944444444513</v>
      </c>
      <c r="AC110" s="859"/>
      <c r="AD110" s="859"/>
      <c r="AE110" s="869"/>
      <c r="AF110" s="869"/>
      <c r="AG110" s="869"/>
      <c r="AH110" s="869"/>
      <c r="AI110" s="869"/>
      <c r="AJ110" s="869"/>
      <c r="AK110" s="869"/>
      <c r="AL110" s="869"/>
      <c r="AM110" s="869"/>
      <c r="AN110" s="869"/>
      <c r="AO110" s="869"/>
      <c r="AP110" s="869"/>
      <c r="AQ110" s="869"/>
      <c r="AR110" s="869"/>
      <c r="AS110" s="869"/>
      <c r="AT110" s="869"/>
      <c r="AU110" s="869"/>
      <c r="AV110" s="869"/>
      <c r="AW110" s="869"/>
      <c r="AX110" s="869"/>
    </row>
    <row r="111" spans="8:8" customHeight="1">
      <c r="E111" s="852"/>
      <c r="Q111" s="859"/>
      <c r="R111" s="859"/>
      <c r="W111" s="881">
        <f t="shared" si="26"/>
        <v>0.45555555555557975</v>
      </c>
      <c r="X111" s="882">
        <f t="shared" si="44" ref="X111:X117">$D$1*W111</f>
        <v>130.2888888888958</v>
      </c>
      <c r="AC111" s="859"/>
      <c r="AD111" s="859"/>
      <c r="AE111" s="869"/>
      <c r="AF111" s="869"/>
      <c r="AG111" s="869"/>
      <c r="AH111" s="869"/>
      <c r="AI111" s="869"/>
      <c r="AJ111" s="869"/>
      <c r="AK111" s="869"/>
      <c r="AL111" s="869"/>
      <c r="AM111" s="869"/>
      <c r="AN111" s="869"/>
      <c r="AO111" s="869"/>
      <c r="AP111" s="869"/>
      <c r="AQ111" s="869"/>
      <c r="AR111" s="869"/>
      <c r="AS111" s="869"/>
      <c r="AT111" s="869"/>
      <c r="AU111" s="869"/>
      <c r="AV111" s="869"/>
      <c r="AW111" s="869"/>
      <c r="AX111" s="869"/>
    </row>
    <row r="112" spans="8:8" customHeight="1">
      <c r="E112" s="852"/>
      <c r="Q112" s="859"/>
      <c r="R112" s="859"/>
      <c r="W112" s="881">
        <f t="shared" si="26"/>
        <v>0.4583333333333578</v>
      </c>
      <c r="X112" s="882">
        <f t="shared" si="44"/>
        <v>131.08333333334033</v>
      </c>
      <c r="AC112" s="859"/>
      <c r="AD112" s="859"/>
      <c r="AE112" s="869"/>
      <c r="AF112" s="869"/>
      <c r="AG112" s="869"/>
      <c r="AH112" s="869"/>
      <c r="AI112" s="869"/>
      <c r="AJ112" s="869"/>
      <c r="AK112" s="869"/>
      <c r="AL112" s="869"/>
      <c r="AM112" s="869"/>
      <c r="AN112" s="869"/>
      <c r="AO112" s="869"/>
      <c r="AP112" s="869"/>
      <c r="AQ112" s="869"/>
      <c r="AR112" s="869"/>
      <c r="AS112" s="869"/>
      <c r="AT112" s="869"/>
      <c r="AU112" s="869"/>
      <c r="AV112" s="869"/>
      <c r="AW112" s="869"/>
      <c r="AX112" s="869"/>
    </row>
    <row r="113" spans="8:8" customHeight="1">
      <c r="E113" s="852"/>
      <c r="Q113" s="859"/>
      <c r="R113" s="859"/>
      <c r="W113" s="881">
        <f t="shared" si="26"/>
        <v>0.4611111111111358</v>
      </c>
      <c r="X113" s="882">
        <f t="shared" si="44"/>
        <v>131.87777777778484</v>
      </c>
      <c r="AC113" s="859"/>
      <c r="AD113" s="859"/>
      <c r="AE113" s="869"/>
      <c r="AF113" s="869"/>
      <c r="AG113" s="869"/>
      <c r="AH113" s="869"/>
      <c r="AI113" s="869"/>
      <c r="AJ113" s="869"/>
      <c r="AK113" s="869"/>
      <c r="AL113" s="869"/>
      <c r="AM113" s="869"/>
      <c r="AN113" s="869"/>
      <c r="AO113" s="869"/>
      <c r="AP113" s="869"/>
      <c r="AQ113" s="869"/>
      <c r="AR113" s="869"/>
      <c r="AS113" s="869"/>
      <c r="AT113" s="869"/>
      <c r="AU113" s="869"/>
      <c r="AV113" s="869"/>
      <c r="AW113" s="869"/>
      <c r="AX113" s="869"/>
    </row>
    <row r="114" spans="8:8" ht="13.5" customHeight="1">
      <c r="E114" s="852"/>
      <c r="Q114" s="859"/>
      <c r="R114" s="859"/>
      <c r="W114" s="881">
        <f t="shared" si="26"/>
        <v>0.4638888888889138</v>
      </c>
      <c r="X114" s="882">
        <f t="shared" si="44"/>
        <v>132.67222222222935</v>
      </c>
      <c r="AC114" s="859"/>
      <c r="AD114" s="859"/>
      <c r="AE114" s="869"/>
      <c r="AF114" s="869"/>
      <c r="AG114" s="869"/>
      <c r="AH114" s="869"/>
      <c r="AI114" s="869"/>
      <c r="AJ114" s="869"/>
      <c r="AK114" s="869"/>
      <c r="AL114" s="869"/>
      <c r="AM114" s="869"/>
      <c r="AN114" s="869"/>
      <c r="AO114" s="869"/>
      <c r="AP114" s="869"/>
      <c r="AQ114" s="869"/>
      <c r="AR114" s="869"/>
      <c r="AS114" s="869"/>
      <c r="AT114" s="869"/>
      <c r="AU114" s="869"/>
      <c r="AV114" s="869"/>
      <c r="AW114" s="869"/>
      <c r="AX114" s="869"/>
    </row>
    <row r="115" spans="8:8" customHeight="1">
      <c r="E115" s="852"/>
      <c r="Q115" s="859"/>
      <c r="R115" s="859"/>
      <c r="W115" s="881">
        <f t="shared" si="26"/>
        <v>0.46666666666669177</v>
      </c>
      <c r="X115" s="882">
        <f t="shared" si="44"/>
        <v>133.46666666667383</v>
      </c>
      <c r="AC115" s="859"/>
      <c r="AD115" s="859"/>
      <c r="AE115" s="869"/>
      <c r="AF115" s="869"/>
      <c r="AG115" s="869"/>
      <c r="AH115" s="869"/>
      <c r="AI115" s="869"/>
      <c r="AJ115" s="869"/>
      <c r="AK115" s="869"/>
      <c r="AL115" s="869"/>
      <c r="AM115" s="869"/>
      <c r="AN115" s="869"/>
      <c r="AO115" s="869"/>
      <c r="AP115" s="869"/>
      <c r="AQ115" s="869"/>
      <c r="AR115" s="869"/>
      <c r="AS115" s="869"/>
      <c r="AT115" s="869"/>
      <c r="AU115" s="869"/>
      <c r="AV115" s="869"/>
      <c r="AW115" s="869"/>
      <c r="AX115" s="869"/>
    </row>
    <row r="116" spans="8:8" ht="13.5" customHeight="1">
      <c r="E116" s="852"/>
      <c r="Q116" s="859"/>
      <c r="R116" s="859"/>
      <c r="W116" s="881">
        <f t="shared" si="26"/>
        <v>0.46944444444446976</v>
      </c>
      <c r="X116" s="882">
        <f t="shared" si="44"/>
        <v>134.26111111111834</v>
      </c>
      <c r="AC116" s="859"/>
      <c r="AD116" s="859"/>
      <c r="AE116" s="869"/>
      <c r="AF116" s="869"/>
      <c r="AG116" s="869"/>
      <c r="AH116" s="869"/>
      <c r="AI116" s="869"/>
      <c r="AJ116" s="869"/>
      <c r="AK116" s="869"/>
      <c r="AL116" s="869"/>
      <c r="AM116" s="869"/>
      <c r="AN116" s="869"/>
      <c r="AO116" s="869"/>
      <c r="AP116" s="869"/>
      <c r="AQ116" s="869"/>
      <c r="AR116" s="869"/>
      <c r="AS116" s="869"/>
      <c r="AT116" s="869"/>
      <c r="AU116" s="869"/>
      <c r="AV116" s="869"/>
      <c r="AW116" s="869"/>
      <c r="AX116" s="869"/>
    </row>
    <row r="117" spans="8:8" ht="13.5" customHeight="1">
      <c r="E117" s="852"/>
      <c r="Q117" s="859"/>
      <c r="R117" s="859"/>
      <c r="W117" s="881">
        <f t="shared" si="26"/>
        <v>0.47222222222224775</v>
      </c>
      <c r="X117" s="882">
        <f t="shared" si="44"/>
        <v>135.05555555556285</v>
      </c>
      <c r="AC117" s="859"/>
      <c r="AD117" s="859"/>
      <c r="AE117" s="869"/>
      <c r="AF117" s="869"/>
      <c r="AG117" s="869"/>
      <c r="AH117" s="869"/>
      <c r="AI117" s="869"/>
      <c r="AJ117" s="869"/>
      <c r="AK117" s="869"/>
      <c r="AL117" s="869"/>
      <c r="AM117" s="869"/>
      <c r="AN117" s="869"/>
      <c r="AO117" s="869"/>
      <c r="AP117" s="869"/>
      <c r="AQ117" s="869"/>
      <c r="AR117" s="869"/>
      <c r="AS117" s="869"/>
      <c r="AT117" s="869"/>
      <c r="AU117" s="869"/>
      <c r="AV117" s="869"/>
      <c r="AW117" s="869"/>
      <c r="AX117" s="869"/>
    </row>
    <row r="118" spans="8:8" ht="13.5" customHeight="1">
      <c r="E118" s="852"/>
      <c r="Q118" s="859"/>
      <c r="R118" s="859"/>
      <c r="W118" s="867">
        <f t="shared" si="26"/>
        <v>0.4750000000000258</v>
      </c>
      <c r="X118" s="868">
        <f>$D$1*W118</f>
        <v>135.85000000000738</v>
      </c>
      <c r="AC118" s="859"/>
      <c r="AD118" s="859"/>
      <c r="AE118" s="869"/>
      <c r="AF118" s="869"/>
      <c r="AG118" s="869"/>
      <c r="AH118" s="869"/>
      <c r="AI118" s="869"/>
      <c r="AJ118" s="869"/>
      <c r="AK118" s="869"/>
      <c r="AL118" s="869"/>
      <c r="AM118" s="869"/>
      <c r="AN118" s="869"/>
      <c r="AO118" s="869"/>
      <c r="AP118" s="869"/>
      <c r="AQ118" s="869"/>
      <c r="AR118" s="869"/>
      <c r="AS118" s="869"/>
      <c r="AT118" s="869"/>
      <c r="AU118" s="869"/>
      <c r="AV118" s="869"/>
      <c r="AW118" s="869"/>
      <c r="AX118" s="869"/>
    </row>
    <row r="119" spans="8:8" customHeight="1">
      <c r="E119" s="852"/>
      <c r="Q119" s="859"/>
      <c r="R119" s="859"/>
      <c r="W119" s="881">
        <f t="shared" si="26"/>
        <v>0.4777777777778038</v>
      </c>
      <c r="X119" s="882">
        <f>$D$1*W119</f>
        <v>136.6444444444519</v>
      </c>
      <c r="AC119" s="859"/>
      <c r="AD119" s="859"/>
      <c r="AE119" s="869"/>
      <c r="AF119" s="869"/>
      <c r="AG119" s="869"/>
      <c r="AH119" s="869"/>
      <c r="AI119" s="869"/>
      <c r="AJ119" s="869"/>
      <c r="AK119" s="869"/>
      <c r="AL119" s="869"/>
      <c r="AM119" s="869"/>
      <c r="AN119" s="869"/>
      <c r="AO119" s="869"/>
      <c r="AP119" s="869"/>
      <c r="AQ119" s="869"/>
      <c r="AR119" s="869"/>
      <c r="AS119" s="869"/>
      <c r="AT119" s="869"/>
      <c r="AU119" s="869"/>
      <c r="AV119" s="869"/>
      <c r="AW119" s="869"/>
      <c r="AX119" s="869"/>
    </row>
    <row r="120" spans="8:8" customHeight="1">
      <c r="Q120" s="859"/>
      <c r="R120" s="859"/>
      <c r="W120" s="881">
        <f t="shared" si="26"/>
        <v>0.48055555555558177</v>
      </c>
      <c r="X120" s="882">
        <f t="shared" si="45" ref="X120:X126">$D$1*W120</f>
        <v>137.4388888888964</v>
      </c>
      <c r="AC120" s="859"/>
      <c r="AD120" s="859"/>
      <c r="AE120" s="869"/>
      <c r="AF120" s="869"/>
      <c r="AG120" s="869"/>
      <c r="AH120" s="869"/>
      <c r="AI120" s="869"/>
      <c r="AJ120" s="869"/>
      <c r="AK120" s="869"/>
      <c r="AL120" s="869"/>
      <c r="AM120" s="869"/>
      <c r="AN120" s="869"/>
      <c r="AO120" s="869"/>
      <c r="AP120" s="869"/>
      <c r="AQ120" s="869"/>
      <c r="AR120" s="869"/>
      <c r="AS120" s="869"/>
      <c r="AT120" s="869"/>
      <c r="AU120" s="869"/>
      <c r="AV120" s="869"/>
      <c r="AW120" s="869"/>
      <c r="AX120" s="869"/>
    </row>
    <row r="121" spans="8:8" customHeight="1">
      <c r="Q121" s="859"/>
      <c r="R121" s="859"/>
      <c r="W121" s="881">
        <f t="shared" si="26"/>
        <v>0.48333333333335976</v>
      </c>
      <c r="X121" s="882">
        <f t="shared" si="45"/>
        <v>138.23333333334088</v>
      </c>
      <c r="AC121" s="859"/>
      <c r="AD121" s="859"/>
      <c r="AE121" s="869"/>
      <c r="AF121" s="869"/>
      <c r="AG121" s="869"/>
      <c r="AH121" s="869"/>
      <c r="AI121" s="869"/>
      <c r="AJ121" s="869"/>
      <c r="AK121" s="869"/>
      <c r="AL121" s="869"/>
      <c r="AM121" s="869"/>
      <c r="AN121" s="869"/>
      <c r="AO121" s="869"/>
      <c r="AP121" s="869"/>
      <c r="AQ121" s="869"/>
      <c r="AR121" s="869"/>
      <c r="AS121" s="869"/>
      <c r="AT121" s="869"/>
      <c r="AU121" s="869"/>
      <c r="AV121" s="869"/>
      <c r="AW121" s="869"/>
      <c r="AX121" s="869"/>
    </row>
    <row r="122" spans="8:8" customHeight="1">
      <c r="Q122" s="859"/>
      <c r="R122" s="859"/>
      <c r="W122" s="881">
        <f t="shared" si="26"/>
        <v>0.48611111111113775</v>
      </c>
      <c r="X122" s="882">
        <f t="shared" si="45"/>
        <v>139.0277777777854</v>
      </c>
      <c r="AC122" s="859"/>
      <c r="AD122" s="859"/>
      <c r="AE122" s="869"/>
      <c r="AF122" s="869"/>
      <c r="AG122" s="869"/>
      <c r="AH122" s="869"/>
      <c r="AI122" s="869"/>
      <c r="AJ122" s="869"/>
      <c r="AK122" s="869"/>
      <c r="AL122" s="869"/>
      <c r="AM122" s="869"/>
      <c r="AN122" s="869"/>
      <c r="AO122" s="869"/>
      <c r="AP122" s="869"/>
      <c r="AQ122" s="869"/>
      <c r="AR122" s="869"/>
      <c r="AS122" s="869"/>
      <c r="AT122" s="869"/>
      <c r="AU122" s="869"/>
      <c r="AV122" s="869"/>
      <c r="AW122" s="869"/>
      <c r="AX122" s="869"/>
    </row>
    <row r="123" spans="8:8" customHeight="1">
      <c r="Q123" s="859"/>
      <c r="R123" s="859"/>
      <c r="W123" s="881">
        <f t="shared" si="26"/>
        <v>0.48888888888891574</v>
      </c>
      <c r="X123" s="882">
        <f t="shared" si="45"/>
        <v>139.8222222222299</v>
      </c>
      <c r="AC123" s="859"/>
      <c r="AD123" s="859"/>
      <c r="AE123" s="869"/>
      <c r="AF123" s="869"/>
      <c r="AG123" s="869"/>
      <c r="AH123" s="869"/>
      <c r="AI123" s="869"/>
      <c r="AJ123" s="869"/>
      <c r="AK123" s="869"/>
      <c r="AL123" s="869"/>
      <c r="AM123" s="869"/>
      <c r="AN123" s="869"/>
      <c r="AO123" s="869"/>
      <c r="AP123" s="869"/>
      <c r="AQ123" s="869"/>
      <c r="AR123" s="869"/>
      <c r="AS123" s="869"/>
      <c r="AT123" s="869"/>
      <c r="AU123" s="869"/>
      <c r="AV123" s="869"/>
      <c r="AW123" s="869"/>
      <c r="AX123" s="869"/>
    </row>
    <row r="124" spans="8:8" customHeight="1">
      <c r="W124" s="881">
        <f t="shared" si="26"/>
        <v>0.4916666666666938</v>
      </c>
      <c r="X124" s="882">
        <f t="shared" si="45"/>
        <v>140.61666666667443</v>
      </c>
      <c r="AC124" s="859"/>
      <c r="AD124" s="859"/>
      <c r="AE124" s="869"/>
      <c r="AF124" s="869"/>
      <c r="AG124" s="869"/>
      <c r="AH124" s="869"/>
      <c r="AI124" s="869"/>
      <c r="AJ124" s="869"/>
      <c r="AK124" s="869"/>
      <c r="AL124" s="869"/>
      <c r="AM124" s="869"/>
      <c r="AN124" s="869"/>
      <c r="AO124" s="869"/>
      <c r="AP124" s="869"/>
      <c r="AQ124" s="869"/>
      <c r="AR124" s="869"/>
      <c r="AS124" s="869"/>
      <c r="AT124" s="869"/>
      <c r="AU124" s="869"/>
      <c r="AV124" s="869"/>
      <c r="AW124" s="869"/>
      <c r="AX124" s="869"/>
    </row>
    <row r="125" spans="8:8" customHeight="1">
      <c r="W125" s="881">
        <f t="shared" si="26"/>
        <v>0.4944444444444718</v>
      </c>
      <c r="X125" s="882">
        <f t="shared" si="45"/>
        <v>141.41111111111894</v>
      </c>
      <c r="AC125" s="859"/>
      <c r="AD125" s="859"/>
      <c r="AE125" s="869"/>
      <c r="AF125" s="869"/>
      <c r="AG125" s="869"/>
      <c r="AH125" s="869"/>
      <c r="AI125" s="869"/>
      <c r="AJ125" s="869"/>
      <c r="AK125" s="869"/>
      <c r="AL125" s="869"/>
      <c r="AM125" s="869"/>
      <c r="AN125" s="869"/>
      <c r="AO125" s="869"/>
      <c r="AP125" s="869"/>
      <c r="AQ125" s="869"/>
      <c r="AR125" s="869"/>
      <c r="AS125" s="869"/>
      <c r="AT125" s="869"/>
      <c r="AU125" s="869"/>
      <c r="AV125" s="869"/>
      <c r="AW125" s="869"/>
      <c r="AX125" s="869"/>
    </row>
    <row r="126" spans="8:8" customHeight="1">
      <c r="W126" s="881">
        <f t="shared" si="26"/>
        <v>0.49722222222224977</v>
      </c>
      <c r="X126" s="882">
        <f t="shared" si="45"/>
        <v>142.20555555556342</v>
      </c>
      <c r="AC126" s="859"/>
      <c r="AD126" s="859"/>
      <c r="AE126" s="869"/>
      <c r="AF126" s="869"/>
      <c r="AG126" s="869"/>
      <c r="AH126" s="869"/>
      <c r="AI126" s="869"/>
      <c r="AJ126" s="869"/>
      <c r="AK126" s="869"/>
      <c r="AL126" s="869"/>
      <c r="AM126" s="869"/>
      <c r="AN126" s="869"/>
      <c r="AO126" s="869"/>
      <c r="AP126" s="869"/>
      <c r="AQ126" s="869"/>
      <c r="AR126" s="869"/>
      <c r="AS126" s="869"/>
      <c r="AT126" s="869"/>
      <c r="AU126" s="869"/>
      <c r="AV126" s="869"/>
      <c r="AW126" s="869"/>
      <c r="AX126" s="869"/>
    </row>
    <row r="127" spans="8:8" ht="13.5" customHeight="1">
      <c r="W127" s="867">
        <f t="shared" si="26"/>
        <v>0.5000000000000278</v>
      </c>
      <c r="X127" s="868">
        <f>$D$1*W127</f>
        <v>143.00000000000793</v>
      </c>
      <c r="AC127" s="859"/>
      <c r="AD127" s="859"/>
      <c r="AE127" s="869"/>
      <c r="AF127" s="869"/>
      <c r="AG127" s="869"/>
      <c r="AH127" s="869"/>
      <c r="AI127" s="869"/>
      <c r="AJ127" s="869"/>
      <c r="AK127" s="869"/>
      <c r="AL127" s="869"/>
      <c r="AM127" s="869"/>
      <c r="AN127" s="869"/>
      <c r="AO127" s="869"/>
      <c r="AP127" s="869"/>
      <c r="AQ127" s="869"/>
      <c r="AR127" s="869"/>
      <c r="AS127" s="869"/>
      <c r="AT127" s="869"/>
      <c r="AU127" s="869"/>
      <c r="AV127" s="869"/>
      <c r="AW127" s="869"/>
      <c r="AX127" s="869"/>
    </row>
    <row r="128" spans="8:8" customHeight="1">
      <c r="W128" s="881">
        <f t="shared" si="26"/>
        <v>0.5027777777778057</v>
      </c>
      <c r="X128" s="882">
        <f>$D$1*W128</f>
        <v>143.79444444445244</v>
      </c>
      <c r="AC128" s="859"/>
      <c r="AD128" s="859"/>
      <c r="AE128" s="869"/>
      <c r="AF128" s="869"/>
      <c r="AG128" s="869"/>
      <c r="AH128" s="869"/>
      <c r="AI128" s="869"/>
      <c r="AJ128" s="869"/>
      <c r="AK128" s="869"/>
      <c r="AL128" s="869"/>
      <c r="AM128" s="869"/>
      <c r="AN128" s="869"/>
      <c r="AO128" s="869"/>
      <c r="AP128" s="869"/>
      <c r="AQ128" s="869"/>
      <c r="AR128" s="869"/>
      <c r="AS128" s="869"/>
      <c r="AT128" s="869"/>
      <c r="AU128" s="869"/>
      <c r="AV128" s="869"/>
      <c r="AW128" s="869"/>
      <c r="AX128" s="869"/>
    </row>
    <row r="129" spans="8:8" s="852" customFormat="1" customHeight="1">
      <c r="W129" s="881">
        <f t="shared" si="26"/>
        <v>0.5055555555555837</v>
      </c>
      <c r="X129" s="882">
        <f t="shared" si="46" ref="X129:X135">$D$1*W129</f>
        <v>144.58888888889695</v>
      </c>
      <c r="AC129" s="859"/>
      <c r="AD129" s="859"/>
      <c r="AE129" s="869"/>
      <c r="AF129" s="869"/>
      <c r="AG129" s="869"/>
      <c r="AH129" s="869"/>
      <c r="AI129" s="869"/>
      <c r="AJ129" s="869"/>
      <c r="AK129" s="869"/>
      <c r="AL129" s="869"/>
      <c r="AM129" s="869"/>
      <c r="AN129" s="869"/>
      <c r="AO129" s="869"/>
      <c r="AP129" s="869"/>
      <c r="AQ129" s="869"/>
      <c r="AR129" s="869"/>
      <c r="AS129" s="869"/>
      <c r="AT129" s="869"/>
      <c r="AU129" s="869"/>
      <c r="AV129" s="869"/>
      <c r="AW129" s="869"/>
      <c r="AX129" s="869"/>
    </row>
    <row r="130" spans="8:8" s="852" customFormat="1" customHeight="1">
      <c r="W130" s="881">
        <f t="shared" si="47" ref="W130:W193">W129+1/360</f>
        <v>0.5083333333333617</v>
      </c>
      <c r="X130" s="882">
        <f t="shared" si="46"/>
        <v>145.38333333334145</v>
      </c>
      <c r="AC130" s="859"/>
      <c r="AD130" s="859"/>
      <c r="AE130" s="869"/>
      <c r="AF130" s="869"/>
      <c r="AG130" s="869"/>
      <c r="AH130" s="869"/>
      <c r="AI130" s="869"/>
      <c r="AJ130" s="869"/>
      <c r="AK130" s="869"/>
      <c r="AL130" s="869"/>
      <c r="AM130" s="869"/>
      <c r="AN130" s="869"/>
      <c r="AO130" s="869"/>
      <c r="AP130" s="869"/>
      <c r="AQ130" s="869"/>
      <c r="AR130" s="869"/>
      <c r="AS130" s="869"/>
      <c r="AT130" s="869"/>
      <c r="AU130" s="869"/>
      <c r="AV130" s="869"/>
      <c r="AW130" s="869"/>
      <c r="AX130" s="869"/>
    </row>
    <row r="131" spans="8:8" s="852" ht="13.5" customFormat="1" customHeight="1">
      <c r="W131" s="881">
        <f t="shared" si="47"/>
        <v>0.5111111111111397</v>
      </c>
      <c r="X131" s="882">
        <f t="shared" si="46"/>
        <v>146.17777777778596</v>
      </c>
      <c r="AC131" s="859"/>
      <c r="AD131" s="859"/>
      <c r="AE131" s="869"/>
      <c r="AF131" s="869"/>
      <c r="AG131" s="869"/>
      <c r="AH131" s="869"/>
      <c r="AI131" s="869"/>
      <c r="AJ131" s="869"/>
      <c r="AK131" s="869"/>
      <c r="AL131" s="869"/>
      <c r="AM131" s="869"/>
      <c r="AN131" s="869"/>
      <c r="AO131" s="869"/>
      <c r="AP131" s="869"/>
      <c r="AQ131" s="869"/>
      <c r="AR131" s="869"/>
      <c r="AS131" s="869"/>
      <c r="AT131" s="869"/>
      <c r="AU131" s="869"/>
      <c r="AV131" s="869"/>
      <c r="AW131" s="869"/>
      <c r="AX131" s="869"/>
    </row>
    <row r="132" spans="8:8" s="852" ht="13.5" customFormat="1" customHeight="1">
      <c r="W132" s="881">
        <f t="shared" si="47"/>
        <v>0.5138888888889178</v>
      </c>
      <c r="X132" s="882">
        <f t="shared" si="46"/>
        <v>146.9722222222305</v>
      </c>
      <c r="AC132" s="859"/>
      <c r="AD132" s="859"/>
      <c r="AE132" s="869"/>
      <c r="AF132" s="869"/>
      <c r="AG132" s="869"/>
      <c r="AH132" s="869"/>
      <c r="AI132" s="869"/>
      <c r="AJ132" s="869"/>
      <c r="AK132" s="869"/>
      <c r="AL132" s="869"/>
      <c r="AM132" s="869"/>
      <c r="AN132" s="869"/>
      <c r="AO132" s="869"/>
      <c r="AP132" s="869"/>
      <c r="AQ132" s="869"/>
      <c r="AR132" s="869"/>
      <c r="AS132" s="869"/>
      <c r="AT132" s="869"/>
      <c r="AU132" s="869"/>
      <c r="AV132" s="869"/>
      <c r="AW132" s="869"/>
      <c r="AX132" s="869"/>
    </row>
    <row r="133" spans="8:8" s="852" customFormat="1" customHeight="1">
      <c r="W133" s="881">
        <f t="shared" si="47"/>
        <v>0.5166666666666958</v>
      </c>
      <c r="X133" s="882">
        <f t="shared" si="46"/>
        <v>147.766666666675</v>
      </c>
      <c r="AC133" s="859"/>
      <c r="AD133" s="859"/>
      <c r="AE133" s="869"/>
      <c r="AF133" s="869"/>
      <c r="AG133" s="869"/>
      <c r="AH133" s="869"/>
      <c r="AI133" s="869"/>
      <c r="AJ133" s="869"/>
      <c r="AK133" s="869"/>
      <c r="AL133" s="869"/>
      <c r="AM133" s="869"/>
      <c r="AN133" s="869"/>
      <c r="AO133" s="869"/>
      <c r="AP133" s="869"/>
      <c r="AQ133" s="869"/>
      <c r="AR133" s="869"/>
      <c r="AS133" s="869"/>
      <c r="AT133" s="869"/>
      <c r="AU133" s="869"/>
      <c r="AV133" s="869"/>
      <c r="AW133" s="869"/>
      <c r="AX133" s="869"/>
    </row>
    <row r="134" spans="8:8" s="852" customFormat="1" customHeight="1">
      <c r="W134" s="881">
        <f t="shared" si="47"/>
        <v>0.5194444444444738</v>
      </c>
      <c r="X134" s="882">
        <f t="shared" si="46"/>
        <v>148.56111111111952</v>
      </c>
      <c r="AC134" s="859"/>
      <c r="AD134" s="859"/>
      <c r="AE134" s="869"/>
      <c r="AF134" s="869"/>
      <c r="AG134" s="869"/>
      <c r="AH134" s="869"/>
      <c r="AI134" s="869"/>
      <c r="AJ134" s="869"/>
      <c r="AK134" s="869"/>
      <c r="AL134" s="869"/>
      <c r="AM134" s="869"/>
      <c r="AN134" s="869"/>
      <c r="AO134" s="869"/>
      <c r="AP134" s="869"/>
      <c r="AQ134" s="869"/>
      <c r="AR134" s="869"/>
      <c r="AS134" s="869"/>
      <c r="AT134" s="869"/>
      <c r="AU134" s="869"/>
      <c r="AV134" s="869"/>
      <c r="AW134" s="869"/>
      <c r="AX134" s="869"/>
    </row>
    <row r="135" spans="8:8" s="852" customFormat="1" customHeight="1">
      <c r="W135" s="881">
        <f t="shared" si="47"/>
        <v>0.5222222222222518</v>
      </c>
      <c r="X135" s="882">
        <f t="shared" si="46"/>
        <v>149.35555555556402</v>
      </c>
      <c r="AC135" s="859"/>
      <c r="AD135" s="859"/>
      <c r="AE135" s="869"/>
      <c r="AF135" s="869"/>
      <c r="AG135" s="869"/>
      <c r="AH135" s="869"/>
      <c r="AI135" s="869"/>
      <c r="AJ135" s="869"/>
      <c r="AK135" s="869"/>
      <c r="AL135" s="869"/>
      <c r="AM135" s="869"/>
      <c r="AN135" s="869"/>
      <c r="AO135" s="869"/>
      <c r="AP135" s="869"/>
      <c r="AQ135" s="869"/>
      <c r="AR135" s="869"/>
      <c r="AS135" s="869"/>
      <c r="AT135" s="869"/>
      <c r="AU135" s="869"/>
      <c r="AV135" s="869"/>
      <c r="AW135" s="869"/>
      <c r="AX135" s="869"/>
    </row>
    <row r="136" spans="8:8" s="852" customFormat="1" customHeight="1">
      <c r="W136" s="867">
        <f t="shared" si="47"/>
        <v>0.5250000000000298</v>
      </c>
      <c r="X136" s="868">
        <f>$D$1*W136</f>
        <v>150.1500000000085</v>
      </c>
      <c r="AC136" s="859"/>
      <c r="AD136" s="859"/>
      <c r="AE136" s="869"/>
      <c r="AF136" s="869"/>
      <c r="AG136" s="869"/>
      <c r="AH136" s="869"/>
      <c r="AI136" s="869"/>
      <c r="AJ136" s="869"/>
      <c r="AK136" s="869"/>
      <c r="AL136" s="869"/>
      <c r="AM136" s="869"/>
      <c r="AN136" s="869"/>
      <c r="AO136" s="869"/>
      <c r="AP136" s="869"/>
      <c r="AQ136" s="869"/>
      <c r="AR136" s="869"/>
      <c r="AS136" s="869"/>
      <c r="AT136" s="869"/>
      <c r="AU136" s="869"/>
      <c r="AV136" s="869"/>
      <c r="AW136" s="869"/>
      <c r="AX136" s="869"/>
    </row>
    <row r="137" spans="8:8" s="852" customFormat="1" customHeight="1">
      <c r="W137" s="881">
        <f t="shared" si="47"/>
        <v>0.5277777777778078</v>
      </c>
      <c r="X137" s="882">
        <f>$D$1*W137</f>
        <v>150.944444444453</v>
      </c>
      <c r="AC137" s="859"/>
      <c r="AD137" s="859"/>
      <c r="AE137" s="869"/>
      <c r="AF137" s="869"/>
      <c r="AG137" s="869"/>
      <c r="AH137" s="869"/>
      <c r="AI137" s="869"/>
      <c r="AJ137" s="869"/>
      <c r="AK137" s="869"/>
      <c r="AL137" s="869"/>
      <c r="AM137" s="869"/>
      <c r="AN137" s="869"/>
      <c r="AO137" s="869"/>
      <c r="AP137" s="869"/>
      <c r="AQ137" s="869"/>
      <c r="AR137" s="869"/>
      <c r="AS137" s="869"/>
      <c r="AT137" s="869"/>
      <c r="AU137" s="869"/>
      <c r="AV137" s="869"/>
      <c r="AW137" s="869"/>
      <c r="AX137" s="869"/>
    </row>
    <row r="138" spans="8:8" s="852" customFormat="1" customHeight="1">
      <c r="W138" s="881">
        <f t="shared" si="47"/>
        <v>0.5305555555555858</v>
      </c>
      <c r="X138" s="882">
        <f t="shared" si="48" ref="X138:X144">$D$1*W138</f>
        <v>151.73888888889752</v>
      </c>
      <c r="AC138" s="859"/>
      <c r="AD138" s="859"/>
      <c r="AE138" s="869"/>
      <c r="AF138" s="869"/>
      <c r="AG138" s="869"/>
      <c r="AH138" s="869"/>
      <c r="AI138" s="869"/>
      <c r="AJ138" s="869"/>
      <c r="AK138" s="869"/>
      <c r="AL138" s="869"/>
      <c r="AM138" s="869"/>
      <c r="AN138" s="869"/>
      <c r="AO138" s="869"/>
      <c r="AP138" s="869"/>
      <c r="AQ138" s="869"/>
      <c r="AR138" s="869"/>
      <c r="AS138" s="869"/>
      <c r="AT138" s="869"/>
      <c r="AU138" s="869"/>
      <c r="AV138" s="869"/>
      <c r="AW138" s="869"/>
      <c r="AX138" s="869"/>
    </row>
    <row r="139" spans="8:8" s="852" customFormat="1" customHeight="1">
      <c r="W139" s="881">
        <f t="shared" si="47"/>
        <v>0.5333333333333637</v>
      </c>
      <c r="X139" s="882">
        <f t="shared" si="48"/>
        <v>152.53333333334203</v>
      </c>
      <c r="AC139" s="859"/>
      <c r="AD139" s="859"/>
      <c r="AE139" s="869"/>
      <c r="AF139" s="869"/>
      <c r="AG139" s="869"/>
      <c r="AH139" s="869"/>
      <c r="AI139" s="869"/>
      <c r="AJ139" s="869"/>
      <c r="AK139" s="869"/>
      <c r="AL139" s="869"/>
      <c r="AM139" s="869"/>
      <c r="AN139" s="869"/>
      <c r="AO139" s="869"/>
      <c r="AP139" s="869"/>
      <c r="AQ139" s="869"/>
      <c r="AR139" s="869"/>
      <c r="AS139" s="869"/>
      <c r="AT139" s="869"/>
      <c r="AU139" s="869"/>
      <c r="AV139" s="869"/>
      <c r="AW139" s="869"/>
      <c r="AX139" s="869"/>
    </row>
    <row r="140" spans="8:8" s="852" customFormat="1" customHeight="1">
      <c r="W140" s="881">
        <f t="shared" si="47"/>
        <v>0.5361111111111417</v>
      </c>
      <c r="X140" s="882">
        <f t="shared" si="48"/>
        <v>153.32777777778654</v>
      </c>
      <c r="AC140" s="859"/>
      <c r="AD140" s="859"/>
      <c r="AE140" s="869"/>
      <c r="AF140" s="869"/>
      <c r="AG140" s="869"/>
      <c r="AH140" s="869"/>
      <c r="AI140" s="869"/>
      <c r="AJ140" s="869"/>
      <c r="AK140" s="869"/>
      <c r="AL140" s="869"/>
      <c r="AM140" s="869"/>
      <c r="AN140" s="869"/>
      <c r="AO140" s="869"/>
      <c r="AP140" s="869"/>
      <c r="AQ140" s="869"/>
      <c r="AR140" s="869"/>
      <c r="AS140" s="869"/>
      <c r="AT140" s="869"/>
      <c r="AU140" s="869"/>
      <c r="AV140" s="869"/>
      <c r="AW140" s="869"/>
      <c r="AX140" s="869"/>
    </row>
    <row r="141" spans="8:8" s="852" customFormat="1" customHeight="1">
      <c r="W141" s="881">
        <f t="shared" si="47"/>
        <v>0.5388888888889197</v>
      </c>
      <c r="X141" s="882">
        <f t="shared" si="48"/>
        <v>154.12222222223104</v>
      </c>
      <c r="AC141" s="859"/>
      <c r="AD141" s="859"/>
      <c r="AE141" s="869"/>
      <c r="AF141" s="869"/>
      <c r="AG141" s="869"/>
      <c r="AH141" s="869"/>
      <c r="AI141" s="869"/>
      <c r="AJ141" s="869"/>
      <c r="AK141" s="869"/>
      <c r="AL141" s="869"/>
      <c r="AM141" s="869"/>
      <c r="AN141" s="869"/>
      <c r="AO141" s="869"/>
      <c r="AP141" s="869"/>
      <c r="AQ141" s="869"/>
      <c r="AR141" s="869"/>
      <c r="AS141" s="869"/>
      <c r="AT141" s="869"/>
      <c r="AU141" s="869"/>
      <c r="AV141" s="869"/>
      <c r="AW141" s="869"/>
      <c r="AX141" s="869"/>
    </row>
    <row r="142" spans="8:8" s="852" ht="13.5" customFormat="1" customHeight="1">
      <c r="W142" s="881">
        <f t="shared" si="47"/>
        <v>0.5416666666666977</v>
      </c>
      <c r="X142" s="882">
        <f t="shared" si="48"/>
        <v>154.91666666667555</v>
      </c>
      <c r="AC142" s="859"/>
      <c r="AD142" s="859"/>
      <c r="AE142" s="869"/>
      <c r="AF142" s="869"/>
      <c r="AG142" s="869"/>
      <c r="AH142" s="869"/>
      <c r="AI142" s="869"/>
      <c r="AJ142" s="869"/>
      <c r="AK142" s="869"/>
      <c r="AL142" s="869"/>
      <c r="AM142" s="869"/>
      <c r="AN142" s="869"/>
      <c r="AO142" s="869"/>
      <c r="AP142" s="869"/>
      <c r="AQ142" s="869"/>
      <c r="AR142" s="869"/>
      <c r="AS142" s="869"/>
      <c r="AT142" s="869"/>
      <c r="AU142" s="869"/>
      <c r="AV142" s="869"/>
      <c r="AW142" s="869"/>
      <c r="AX142" s="869"/>
    </row>
    <row r="143" spans="8:8" s="852" ht="13.5" customFormat="1" customHeight="1">
      <c r="W143" s="881">
        <f t="shared" si="47"/>
        <v>0.5444444444444758</v>
      </c>
      <c r="X143" s="882">
        <f t="shared" si="48"/>
        <v>155.7111111111201</v>
      </c>
      <c r="AC143" s="859"/>
      <c r="AD143" s="859"/>
      <c r="AE143" s="869"/>
      <c r="AF143" s="869"/>
      <c r="AG143" s="869"/>
      <c r="AH143" s="869"/>
      <c r="AI143" s="869"/>
      <c r="AJ143" s="869"/>
      <c r="AK143" s="869"/>
      <c r="AL143" s="869"/>
      <c r="AM143" s="869"/>
      <c r="AN143" s="869"/>
      <c r="AO143" s="869"/>
      <c r="AP143" s="869"/>
      <c r="AQ143" s="869"/>
      <c r="AR143" s="869"/>
      <c r="AS143" s="869"/>
      <c r="AT143" s="869"/>
      <c r="AU143" s="869"/>
      <c r="AV143" s="869"/>
      <c r="AW143" s="869"/>
      <c r="AX143" s="869"/>
    </row>
    <row r="144" spans="8:8" s="852" ht="13.5" customFormat="1" customHeight="1">
      <c r="W144" s="881">
        <f t="shared" si="47"/>
        <v>0.5472222222222538</v>
      </c>
      <c r="X144" s="882">
        <f t="shared" si="48"/>
        <v>156.5055555555646</v>
      </c>
      <c r="AC144" s="859"/>
      <c r="AD144" s="859"/>
      <c r="AE144" s="869"/>
      <c r="AF144" s="869"/>
      <c r="AG144" s="869"/>
      <c r="AH144" s="869"/>
      <c r="AI144" s="869"/>
      <c r="AJ144" s="869"/>
      <c r="AK144" s="869"/>
      <c r="AL144" s="869"/>
      <c r="AM144" s="869"/>
      <c r="AN144" s="869"/>
      <c r="AO144" s="869"/>
      <c r="AP144" s="869"/>
      <c r="AQ144" s="869"/>
      <c r="AR144" s="869"/>
      <c r="AS144" s="869"/>
      <c r="AT144" s="869"/>
      <c r="AU144" s="869"/>
      <c r="AV144" s="869"/>
      <c r="AW144" s="869"/>
      <c r="AX144" s="869"/>
    </row>
    <row r="145" spans="8:8" customHeight="1">
      <c r="W145" s="867">
        <f t="shared" si="47"/>
        <v>0.5500000000000318</v>
      </c>
      <c r="X145" s="868">
        <f>$D$1*W145</f>
        <v>157.3000000000091</v>
      </c>
      <c r="AC145" s="859"/>
      <c r="AD145" s="859"/>
      <c r="AE145" s="869"/>
      <c r="AF145" s="869"/>
      <c r="AG145" s="869"/>
      <c r="AH145" s="869"/>
      <c r="AI145" s="869"/>
      <c r="AJ145" s="869"/>
      <c r="AK145" s="869"/>
      <c r="AL145" s="869"/>
      <c r="AM145" s="869"/>
      <c r="AN145" s="869"/>
      <c r="AO145" s="869"/>
      <c r="AP145" s="869"/>
      <c r="AQ145" s="869"/>
      <c r="AR145" s="869"/>
      <c r="AS145" s="869"/>
      <c r="AT145" s="869"/>
      <c r="AU145" s="869"/>
      <c r="AV145" s="869"/>
      <c r="AW145" s="869"/>
      <c r="AX145" s="869"/>
    </row>
    <row r="146" spans="8:8" customHeight="1">
      <c r="R146" s="859"/>
      <c r="W146" s="881">
        <f t="shared" si="47"/>
        <v>0.5527777777778098</v>
      </c>
      <c r="X146" s="882">
        <f>$D$1*W146</f>
        <v>158.0944444444536</v>
      </c>
      <c r="AC146" s="859"/>
      <c r="AD146" s="859"/>
      <c r="AE146" s="869"/>
      <c r="AF146" s="869"/>
      <c r="AG146" s="869"/>
      <c r="AH146" s="869"/>
      <c r="AI146" s="869"/>
      <c r="AJ146" s="869"/>
      <c r="AK146" s="869"/>
      <c r="AL146" s="869"/>
      <c r="AM146" s="869"/>
      <c r="AN146" s="869"/>
      <c r="AO146" s="869"/>
      <c r="AP146" s="869"/>
      <c r="AQ146" s="869"/>
      <c r="AR146" s="869"/>
      <c r="AS146" s="869"/>
      <c r="AT146" s="869"/>
      <c r="AU146" s="869"/>
      <c r="AV146" s="869"/>
      <c r="AW146" s="869"/>
      <c r="AX146" s="869"/>
    </row>
    <row r="147" spans="8:8" customHeight="1">
      <c r="R147" s="859"/>
      <c r="W147" s="881">
        <f t="shared" si="47"/>
        <v>0.5555555555555878</v>
      </c>
      <c r="X147" s="882">
        <f t="shared" si="49" ref="X147:X153">$D$1*W147</f>
        <v>158.8888888888981</v>
      </c>
      <c r="AE147" s="869"/>
      <c r="AF147" s="869"/>
      <c r="AG147" s="869"/>
      <c r="AH147" s="869"/>
      <c r="AI147" s="869"/>
      <c r="AJ147" s="869"/>
      <c r="AK147" s="869"/>
      <c r="AL147" s="869"/>
      <c r="AM147" s="869"/>
      <c r="AN147" s="869"/>
      <c r="AO147" s="869"/>
      <c r="AP147" s="869"/>
      <c r="AQ147" s="869"/>
      <c r="AR147" s="869"/>
      <c r="AS147" s="869"/>
      <c r="AT147" s="869"/>
      <c r="AU147" s="869"/>
      <c r="AV147" s="869"/>
      <c r="AW147" s="869"/>
      <c r="AX147" s="869"/>
    </row>
    <row r="148" spans="8:8" customHeight="1">
      <c r="Q148" s="859"/>
      <c r="R148" s="859"/>
      <c r="W148" s="881">
        <f t="shared" si="47"/>
        <v>0.5583333333333658</v>
      </c>
      <c r="X148" s="882">
        <f t="shared" si="49"/>
        <v>159.6833333333426</v>
      </c>
      <c r="AE148" s="869"/>
      <c r="AF148" s="869"/>
      <c r="AG148" s="869"/>
      <c r="AH148" s="869"/>
      <c r="AI148" s="869"/>
      <c r="AJ148" s="869"/>
      <c r="AK148" s="869"/>
      <c r="AL148" s="869"/>
      <c r="AM148" s="869"/>
      <c r="AN148" s="869"/>
      <c r="AO148" s="869"/>
      <c r="AP148" s="869"/>
      <c r="AQ148" s="869"/>
      <c r="AR148" s="869"/>
      <c r="AS148" s="869"/>
      <c r="AT148" s="869"/>
      <c r="AU148" s="869"/>
      <c r="AV148" s="869"/>
      <c r="AW148" s="869"/>
      <c r="AX148" s="869"/>
    </row>
    <row r="149" spans="8:8" customHeight="1">
      <c r="Q149" s="859"/>
      <c r="R149" s="859"/>
      <c r="W149" s="881">
        <f t="shared" si="47"/>
        <v>0.5611111111111438</v>
      </c>
      <c r="X149" s="882">
        <f t="shared" si="49"/>
        <v>160.4777777777871</v>
      </c>
      <c r="AE149" s="869"/>
      <c r="AF149" s="869"/>
      <c r="AG149" s="869"/>
      <c r="AH149" s="869"/>
      <c r="AI149" s="869"/>
      <c r="AJ149" s="869"/>
      <c r="AK149" s="869"/>
      <c r="AL149" s="869"/>
      <c r="AM149" s="869"/>
      <c r="AN149" s="869"/>
      <c r="AO149" s="869"/>
      <c r="AP149" s="869"/>
      <c r="AQ149" s="869"/>
      <c r="AR149" s="869"/>
      <c r="AS149" s="869"/>
      <c r="AT149" s="869"/>
      <c r="AU149" s="869"/>
      <c r="AV149" s="869"/>
      <c r="AW149" s="869"/>
      <c r="AX149" s="869"/>
    </row>
    <row r="150" spans="8:8" customHeight="1">
      <c r="E150" s="852"/>
      <c r="P150" s="859"/>
      <c r="Q150" s="859"/>
      <c r="R150" s="859"/>
      <c r="W150" s="881">
        <f t="shared" si="47"/>
        <v>0.5638888888889217</v>
      </c>
      <c r="X150" s="882">
        <f t="shared" si="49"/>
        <v>161.27222222223162</v>
      </c>
      <c r="AE150" s="869"/>
      <c r="AF150" s="869"/>
      <c r="AG150" s="869"/>
      <c r="AH150" s="869"/>
      <c r="AI150" s="869"/>
      <c r="AJ150" s="869"/>
      <c r="AK150" s="869"/>
      <c r="AL150" s="869"/>
      <c r="AM150" s="869"/>
      <c r="AN150" s="869"/>
      <c r="AO150" s="869"/>
      <c r="AP150" s="869"/>
      <c r="AQ150" s="869"/>
      <c r="AR150" s="869"/>
      <c r="AS150" s="869"/>
      <c r="AT150" s="869"/>
      <c r="AU150" s="869"/>
      <c r="AV150" s="869"/>
      <c r="AW150" s="869"/>
      <c r="AX150" s="869"/>
    </row>
    <row r="151" spans="8:8" customHeight="1">
      <c r="E151" s="852"/>
      <c r="P151" s="859"/>
      <c r="Q151" s="859"/>
      <c r="R151" s="859"/>
      <c r="W151" s="881">
        <f t="shared" si="47"/>
        <v>0.5666666666666997</v>
      </c>
      <c r="X151" s="882">
        <f t="shared" si="49"/>
        <v>162.06666666667613</v>
      </c>
      <c r="AE151" s="869"/>
      <c r="AF151" s="869"/>
      <c r="AG151" s="869"/>
      <c r="AH151" s="869"/>
      <c r="AI151" s="869"/>
      <c r="AJ151" s="869"/>
      <c r="AK151" s="869"/>
      <c r="AL151" s="869"/>
      <c r="AM151" s="869"/>
      <c r="AN151" s="869"/>
      <c r="AO151" s="869"/>
      <c r="AP151" s="869"/>
      <c r="AQ151" s="869"/>
      <c r="AR151" s="869"/>
      <c r="AS151" s="869"/>
      <c r="AT151" s="869"/>
      <c r="AU151" s="869"/>
      <c r="AV151" s="869"/>
      <c r="AW151" s="869"/>
      <c r="AX151" s="869"/>
    </row>
    <row r="152" spans="8:8" customHeight="1">
      <c r="E152" s="852"/>
      <c r="P152" s="859"/>
      <c r="Q152" s="859"/>
      <c r="R152" s="859"/>
      <c r="W152" s="881">
        <f t="shared" si="47"/>
        <v>0.5694444444444777</v>
      </c>
      <c r="X152" s="882">
        <f t="shared" si="49"/>
        <v>162.86111111112064</v>
      </c>
      <c r="AE152" s="869"/>
      <c r="AF152" s="869"/>
      <c r="AG152" s="869"/>
      <c r="AH152" s="869"/>
      <c r="AI152" s="869"/>
      <c r="AJ152" s="869"/>
      <c r="AK152" s="869"/>
      <c r="AL152" s="869"/>
      <c r="AM152" s="869"/>
      <c r="AN152" s="869"/>
      <c r="AO152" s="869"/>
      <c r="AP152" s="869"/>
      <c r="AQ152" s="869"/>
      <c r="AR152" s="869"/>
      <c r="AS152" s="869"/>
      <c r="AT152" s="869"/>
      <c r="AU152" s="869"/>
      <c r="AV152" s="869"/>
      <c r="AW152" s="869"/>
      <c r="AX152" s="869"/>
    </row>
    <row r="153" spans="8:8" ht="13.5" customHeight="1">
      <c r="P153" s="859"/>
      <c r="Q153" s="859"/>
      <c r="R153" s="859"/>
      <c r="W153" s="881">
        <f t="shared" si="47"/>
        <v>0.5722222222222557</v>
      </c>
      <c r="X153" s="882">
        <f t="shared" si="49"/>
        <v>163.65555555556514</v>
      </c>
      <c r="AE153" s="869"/>
      <c r="AF153" s="869"/>
      <c r="AG153" s="869"/>
      <c r="AH153" s="869"/>
      <c r="AI153" s="869"/>
      <c r="AJ153" s="869"/>
      <c r="AK153" s="869"/>
      <c r="AL153" s="869"/>
      <c r="AM153" s="869"/>
      <c r="AN153" s="869"/>
      <c r="AO153" s="869"/>
      <c r="AP153" s="869"/>
      <c r="AQ153" s="869"/>
      <c r="AR153" s="869"/>
      <c r="AS153" s="869"/>
      <c r="AT153" s="869"/>
      <c r="AU153" s="869"/>
      <c r="AV153" s="869"/>
      <c r="AW153" s="869"/>
      <c r="AX153" s="869"/>
    </row>
    <row r="154" spans="8:8" customHeight="1">
      <c r="P154" s="859"/>
      <c r="Q154" s="859"/>
      <c r="R154" s="859"/>
      <c r="W154" s="867">
        <f t="shared" si="47"/>
        <v>0.5750000000000338</v>
      </c>
      <c r="X154" s="868">
        <f>$D$1*W154</f>
        <v>164.45000000000968</v>
      </c>
      <c r="AE154" s="869"/>
      <c r="AF154" s="869"/>
      <c r="AG154" s="869"/>
      <c r="AH154" s="869"/>
      <c r="AI154" s="869"/>
      <c r="AJ154" s="869"/>
      <c r="AK154" s="869"/>
      <c r="AL154" s="869"/>
      <c r="AM154" s="869"/>
      <c r="AN154" s="869"/>
      <c r="AO154" s="869"/>
      <c r="AP154" s="869"/>
      <c r="AQ154" s="869"/>
      <c r="AR154" s="869"/>
      <c r="AS154" s="869"/>
      <c r="AT154" s="869"/>
      <c r="AU154" s="869"/>
      <c r="AV154" s="869"/>
      <c r="AW154" s="869"/>
      <c r="AX154" s="869"/>
    </row>
    <row r="155" spans="8:8" customHeight="1">
      <c r="P155" s="859"/>
      <c r="Q155" s="859"/>
      <c r="R155" s="859"/>
      <c r="W155" s="881">
        <f t="shared" si="47"/>
        <v>0.5777777777778118</v>
      </c>
      <c r="X155" s="882">
        <f>$D$1*W155</f>
        <v>165.2444444444542</v>
      </c>
      <c r="AE155" s="869"/>
      <c r="AF155" s="869"/>
      <c r="AG155" s="869"/>
      <c r="AH155" s="869"/>
      <c r="AI155" s="869"/>
      <c r="AJ155" s="869"/>
      <c r="AK155" s="869"/>
      <c r="AL155" s="869"/>
      <c r="AM155" s="869"/>
      <c r="AN155" s="869"/>
      <c r="AO155" s="869"/>
      <c r="AP155" s="869"/>
      <c r="AQ155" s="869"/>
      <c r="AR155" s="869"/>
      <c r="AS155" s="869"/>
      <c r="AT155" s="869"/>
      <c r="AU155" s="869"/>
      <c r="AV155" s="869"/>
      <c r="AW155" s="869"/>
      <c r="AX155" s="869"/>
    </row>
    <row r="156" spans="8:8" customHeight="1">
      <c r="P156" s="859"/>
      <c r="Q156" s="859"/>
      <c r="R156" s="859"/>
      <c r="W156" s="881">
        <f t="shared" si="47"/>
        <v>0.5805555555555898</v>
      </c>
      <c r="X156" s="882">
        <f t="shared" si="50" ref="X156:X162">$D$1*W156</f>
        <v>166.03888888889867</v>
      </c>
      <c r="AE156" s="869"/>
      <c r="AF156" s="869"/>
      <c r="AG156" s="869"/>
      <c r="AH156" s="869"/>
      <c r="AI156" s="869"/>
      <c r="AJ156" s="869"/>
      <c r="AK156" s="869"/>
      <c r="AL156" s="869"/>
      <c r="AM156" s="869"/>
      <c r="AN156" s="869"/>
      <c r="AO156" s="869"/>
      <c r="AP156" s="869"/>
      <c r="AQ156" s="869"/>
      <c r="AR156" s="869"/>
      <c r="AS156" s="869"/>
      <c r="AT156" s="869"/>
      <c r="AU156" s="869"/>
      <c r="AV156" s="869"/>
      <c r="AW156" s="869"/>
      <c r="AX156" s="869"/>
    </row>
    <row r="157" spans="8:8" ht="13.5" customHeight="1">
      <c r="P157" s="859"/>
      <c r="Q157" s="859"/>
      <c r="R157" s="859"/>
      <c r="W157" s="881">
        <f t="shared" si="47"/>
        <v>0.5833333333333678</v>
      </c>
      <c r="X157" s="882">
        <f t="shared" si="50"/>
        <v>166.83333333334318</v>
      </c>
      <c r="AE157" s="869"/>
      <c r="AF157" s="869"/>
      <c r="AG157" s="869"/>
      <c r="AH157" s="869"/>
      <c r="AI157" s="869"/>
      <c r="AJ157" s="869"/>
      <c r="AK157" s="869"/>
      <c r="AL157" s="869"/>
      <c r="AM157" s="869"/>
      <c r="AN157" s="869"/>
      <c r="AO157" s="869"/>
      <c r="AP157" s="869"/>
      <c r="AQ157" s="869"/>
      <c r="AR157" s="869"/>
      <c r="AS157" s="869"/>
      <c r="AT157" s="869"/>
      <c r="AU157" s="869"/>
      <c r="AV157" s="869"/>
      <c r="AW157" s="869"/>
      <c r="AX157" s="869"/>
    </row>
    <row r="158" spans="8:8" ht="13.5" customHeight="1">
      <c r="P158" s="859"/>
      <c r="Q158" s="859"/>
      <c r="R158" s="859"/>
      <c r="W158" s="881">
        <f t="shared" si="47"/>
        <v>0.5861111111111458</v>
      </c>
      <c r="X158" s="882">
        <f t="shared" si="50"/>
        <v>167.62777777778768</v>
      </c>
      <c r="AE158" s="869"/>
      <c r="AF158" s="869"/>
      <c r="AG158" s="869"/>
      <c r="AH158" s="869"/>
      <c r="AI158" s="869"/>
      <c r="AJ158" s="869"/>
      <c r="AK158" s="869"/>
      <c r="AL158" s="869"/>
      <c r="AM158" s="869"/>
      <c r="AN158" s="869"/>
      <c r="AO158" s="869"/>
      <c r="AP158" s="869"/>
      <c r="AQ158" s="869"/>
      <c r="AR158" s="869"/>
      <c r="AS158" s="869"/>
      <c r="AT158" s="869"/>
      <c r="AU158" s="869"/>
      <c r="AV158" s="869"/>
      <c r="AW158" s="869"/>
      <c r="AX158" s="869"/>
    </row>
    <row r="159" spans="8:8" customHeight="1">
      <c r="P159" s="859"/>
      <c r="Q159" s="859"/>
      <c r="R159" s="859"/>
      <c r="W159" s="881">
        <f t="shared" si="47"/>
        <v>0.5888888888889238</v>
      </c>
      <c r="X159" s="882">
        <f t="shared" si="50"/>
        <v>168.4222222222322</v>
      </c>
      <c r="AE159" s="869"/>
      <c r="AF159" s="869"/>
      <c r="AG159" s="869"/>
      <c r="AH159" s="869"/>
      <c r="AI159" s="869"/>
      <c r="AJ159" s="869"/>
      <c r="AK159" s="869"/>
      <c r="AL159" s="869"/>
      <c r="AM159" s="869"/>
      <c r="AN159" s="869"/>
      <c r="AO159" s="869"/>
      <c r="AP159" s="869"/>
      <c r="AQ159" s="869"/>
      <c r="AR159" s="869"/>
      <c r="AS159" s="869"/>
      <c r="AT159" s="869"/>
      <c r="AU159" s="869"/>
      <c r="AV159" s="869"/>
      <c r="AW159" s="869"/>
      <c r="AX159" s="869"/>
    </row>
    <row r="160" spans="8:8" customHeight="1">
      <c r="P160" s="859"/>
      <c r="Q160" s="859"/>
      <c r="R160" s="859"/>
      <c r="W160" s="881">
        <f t="shared" si="47"/>
        <v>0.5916666666667018</v>
      </c>
      <c r="X160" s="882">
        <f t="shared" si="50"/>
        <v>169.2166666666767</v>
      </c>
      <c r="AE160" s="869"/>
      <c r="AF160" s="869"/>
      <c r="AG160" s="869"/>
      <c r="AH160" s="869"/>
      <c r="AI160" s="869"/>
      <c r="AJ160" s="869"/>
      <c r="AK160" s="869"/>
      <c r="AL160" s="869"/>
      <c r="AM160" s="869"/>
      <c r="AN160" s="869"/>
      <c r="AO160" s="869"/>
      <c r="AP160" s="869"/>
      <c r="AQ160" s="869"/>
      <c r="AR160" s="869"/>
      <c r="AS160" s="869"/>
      <c r="AT160" s="869"/>
      <c r="AU160" s="869"/>
      <c r="AV160" s="869"/>
      <c r="AW160" s="869"/>
      <c r="AX160" s="869"/>
    </row>
    <row r="161" spans="8:8" s="852" customFormat="1" customHeight="1">
      <c r="P161" s="859"/>
      <c r="Q161" s="859"/>
      <c r="R161" s="859"/>
      <c r="W161" s="881">
        <f t="shared" si="47"/>
        <v>0.5944444444444797</v>
      </c>
      <c r="X161" s="882">
        <f t="shared" si="50"/>
        <v>170.0111111111212</v>
      </c>
      <c r="AE161" s="869"/>
      <c r="AF161" s="869"/>
      <c r="AG161" s="869"/>
      <c r="AH161" s="869"/>
      <c r="AI161" s="869"/>
      <c r="AJ161" s="869"/>
      <c r="AK161" s="869"/>
      <c r="AL161" s="869"/>
      <c r="AM161" s="869"/>
      <c r="AN161" s="869"/>
      <c r="AO161" s="869"/>
      <c r="AP161" s="869"/>
      <c r="AQ161" s="869"/>
      <c r="AR161" s="869"/>
      <c r="AS161" s="869"/>
      <c r="AT161" s="869"/>
      <c r="AU161" s="869"/>
      <c r="AV161" s="869"/>
      <c r="AW161" s="869"/>
      <c r="AX161" s="869"/>
    </row>
    <row r="162" spans="8:8" s="852" customFormat="1" customHeight="1">
      <c r="P162" s="859"/>
      <c r="Q162" s="859"/>
      <c r="R162" s="859"/>
      <c r="W162" s="881">
        <f t="shared" si="47"/>
        <v>0.5972222222222577</v>
      </c>
      <c r="X162" s="882">
        <f t="shared" si="50"/>
        <v>170.80555555556572</v>
      </c>
      <c r="AE162" s="869"/>
      <c r="AF162" s="869"/>
      <c r="AG162" s="869"/>
      <c r="AH162" s="869"/>
      <c r="AI162" s="869"/>
      <c r="AJ162" s="869"/>
      <c r="AK162" s="869"/>
      <c r="AL162" s="869"/>
      <c r="AM162" s="869"/>
      <c r="AN162" s="869"/>
      <c r="AO162" s="869"/>
      <c r="AP162" s="869"/>
      <c r="AQ162" s="869"/>
      <c r="AR162" s="869"/>
      <c r="AS162" s="869"/>
      <c r="AT162" s="869"/>
      <c r="AU162" s="869"/>
      <c r="AV162" s="869"/>
      <c r="AW162" s="869"/>
      <c r="AX162" s="869"/>
    </row>
    <row r="163" spans="8:8" s="852" customFormat="1" customHeight="1">
      <c r="P163" s="859"/>
      <c r="Q163" s="859"/>
      <c r="R163" s="859"/>
      <c r="W163" s="867">
        <f t="shared" si="47"/>
        <v>0.6000000000000357</v>
      </c>
      <c r="X163" s="868">
        <f>$D$1*W163</f>
        <v>171.60000000001023</v>
      </c>
      <c r="AC163" s="859"/>
      <c r="AD163" s="859"/>
      <c r="AE163" s="869"/>
      <c r="AF163" s="869"/>
      <c r="AG163" s="869"/>
      <c r="AH163" s="869"/>
      <c r="AI163" s="869"/>
      <c r="AJ163" s="869"/>
      <c r="AK163" s="869"/>
      <c r="AL163" s="869"/>
      <c r="AM163" s="869"/>
      <c r="AN163" s="869"/>
      <c r="AO163" s="869"/>
      <c r="AP163" s="869"/>
      <c r="AQ163" s="869"/>
      <c r="AR163" s="869"/>
      <c r="AS163" s="869"/>
      <c r="AT163" s="869"/>
      <c r="AU163" s="869"/>
      <c r="AV163" s="869"/>
      <c r="AW163" s="869"/>
      <c r="AX163" s="869"/>
    </row>
    <row r="164" spans="8:8" s="852" customFormat="1" customHeight="1">
      <c r="P164" s="859"/>
      <c r="Q164" s="859"/>
      <c r="R164" s="859"/>
      <c r="W164" s="881">
        <f t="shared" si="47"/>
        <v>0.6027777777778137</v>
      </c>
      <c r="X164" s="882">
        <f>$D$1*W164</f>
        <v>172.39444444445473</v>
      </c>
      <c r="AE164" s="869"/>
      <c r="AF164" s="869"/>
      <c r="AG164" s="869"/>
      <c r="AH164" s="869"/>
      <c r="AI164" s="869"/>
      <c r="AJ164" s="869"/>
      <c r="AK164" s="869"/>
      <c r="AL164" s="869"/>
      <c r="AM164" s="869"/>
      <c r="AN164" s="869"/>
      <c r="AO164" s="869"/>
      <c r="AP164" s="869"/>
      <c r="AQ164" s="869"/>
      <c r="AR164" s="869"/>
      <c r="AS164" s="869"/>
      <c r="AT164" s="869"/>
      <c r="AU164" s="869"/>
      <c r="AV164" s="869"/>
      <c r="AW164" s="869"/>
      <c r="AX164" s="869"/>
    </row>
    <row r="165" spans="8:8" s="852" customFormat="1" customHeight="1">
      <c r="P165" s="859"/>
      <c r="Q165" s="859"/>
      <c r="R165" s="859"/>
      <c r="W165" s="881">
        <f t="shared" si="47"/>
        <v>0.6055555555555918</v>
      </c>
      <c r="X165" s="882">
        <f t="shared" si="51" ref="X165:X171">$D$1*W165</f>
        <v>173.18888888889927</v>
      </c>
      <c r="AE165" s="869"/>
      <c r="AF165" s="869"/>
      <c r="AG165" s="869"/>
      <c r="AH165" s="869"/>
      <c r="AI165" s="869"/>
      <c r="AJ165" s="869"/>
      <c r="AK165" s="869"/>
      <c r="AL165" s="869"/>
      <c r="AM165" s="869"/>
      <c r="AN165" s="869"/>
      <c r="AO165" s="869"/>
      <c r="AP165" s="869"/>
      <c r="AQ165" s="869"/>
      <c r="AR165" s="869"/>
      <c r="AS165" s="869"/>
      <c r="AT165" s="869"/>
      <c r="AU165" s="869"/>
      <c r="AV165" s="869"/>
      <c r="AW165" s="869"/>
      <c r="AX165" s="869"/>
    </row>
    <row r="166" spans="8:8" s="852" customFormat="1" customHeight="1">
      <c r="P166" s="859"/>
      <c r="Q166" s="859"/>
      <c r="R166" s="859"/>
      <c r="W166" s="881">
        <f t="shared" si="47"/>
        <v>0.6083333333333698</v>
      </c>
      <c r="X166" s="882">
        <f t="shared" si="51"/>
        <v>173.98333333334375</v>
      </c>
      <c r="AE166" s="869"/>
      <c r="AF166" s="869"/>
      <c r="AG166" s="869"/>
      <c r="AH166" s="869"/>
      <c r="AI166" s="869"/>
      <c r="AJ166" s="869"/>
      <c r="AK166" s="869"/>
      <c r="AL166" s="869"/>
      <c r="AM166" s="869"/>
      <c r="AN166" s="869"/>
      <c r="AO166" s="869"/>
      <c r="AP166" s="869"/>
      <c r="AQ166" s="869"/>
      <c r="AR166" s="869"/>
      <c r="AS166" s="869"/>
      <c r="AT166" s="869"/>
      <c r="AU166" s="869"/>
      <c r="AV166" s="869"/>
      <c r="AW166" s="869"/>
      <c r="AX166" s="869"/>
    </row>
    <row r="167" spans="8:8" s="852" customFormat="1" customHeight="1">
      <c r="P167" s="859"/>
      <c r="Q167" s="859"/>
      <c r="R167" s="859"/>
      <c r="W167" s="881">
        <f t="shared" si="47"/>
        <v>0.6111111111111478</v>
      </c>
      <c r="X167" s="882">
        <f t="shared" si="51"/>
        <v>174.77777777778826</v>
      </c>
      <c r="AE167" s="869"/>
      <c r="AF167" s="869"/>
      <c r="AG167" s="869"/>
      <c r="AH167" s="869"/>
      <c r="AI167" s="869"/>
      <c r="AJ167" s="869"/>
      <c r="AK167" s="869"/>
      <c r="AL167" s="869"/>
      <c r="AM167" s="869"/>
      <c r="AN167" s="869"/>
      <c r="AO167" s="869"/>
      <c r="AP167" s="869"/>
      <c r="AQ167" s="869"/>
      <c r="AR167" s="869"/>
      <c r="AS167" s="869"/>
      <c r="AT167" s="869"/>
      <c r="AU167" s="869"/>
      <c r="AV167" s="869"/>
      <c r="AW167" s="869"/>
      <c r="AX167" s="869"/>
    </row>
    <row r="168" spans="8:8" s="852" ht="13.5" customFormat="1" customHeight="1">
      <c r="P168" s="859"/>
      <c r="Q168" s="859"/>
      <c r="R168" s="859"/>
      <c r="W168" s="881">
        <f t="shared" si="47"/>
        <v>0.6138888888889258</v>
      </c>
      <c r="X168" s="882">
        <f t="shared" si="51"/>
        <v>175.57222222223277</v>
      </c>
      <c r="AE168" s="869"/>
      <c r="AF168" s="869"/>
      <c r="AG168" s="869"/>
      <c r="AH168" s="869"/>
      <c r="AI168" s="869"/>
      <c r="AJ168" s="869"/>
      <c r="AK168" s="869"/>
      <c r="AL168" s="869"/>
      <c r="AM168" s="869"/>
      <c r="AN168" s="869"/>
      <c r="AO168" s="869"/>
      <c r="AP168" s="869"/>
      <c r="AQ168" s="869"/>
      <c r="AR168" s="869"/>
      <c r="AS168" s="869"/>
      <c r="AT168" s="869"/>
      <c r="AU168" s="869"/>
      <c r="AV168" s="869"/>
      <c r="AW168" s="869"/>
      <c r="AX168" s="869"/>
    </row>
    <row r="169" spans="8:8" s="852" ht="13.5" customFormat="1" customHeight="1">
      <c r="P169" s="859"/>
      <c r="Q169" s="859"/>
      <c r="R169" s="859"/>
      <c r="W169" s="881">
        <f t="shared" si="47"/>
        <v>0.6166666666667038</v>
      </c>
      <c r="X169" s="882">
        <f t="shared" si="51"/>
        <v>176.36666666667728</v>
      </c>
      <c r="AE169" s="869"/>
      <c r="AF169" s="869"/>
      <c r="AG169" s="869"/>
      <c r="AH169" s="869"/>
      <c r="AI169" s="869"/>
      <c r="AJ169" s="869"/>
      <c r="AK169" s="869"/>
      <c r="AL169" s="869"/>
      <c r="AM169" s="869"/>
      <c r="AN169" s="869"/>
      <c r="AO169" s="869"/>
      <c r="AP169" s="869"/>
      <c r="AQ169" s="869"/>
      <c r="AR169" s="869"/>
      <c r="AS169" s="869"/>
      <c r="AT169" s="869"/>
      <c r="AU169" s="869"/>
      <c r="AV169" s="869"/>
      <c r="AW169" s="869"/>
      <c r="AX169" s="869"/>
    </row>
    <row r="170" spans="8:8" s="852" ht="13.5" customFormat="1" customHeight="1">
      <c r="P170" s="859"/>
      <c r="Q170" s="859"/>
      <c r="R170" s="859"/>
      <c r="W170" s="881">
        <f t="shared" si="47"/>
        <v>0.6194444444444818</v>
      </c>
      <c r="X170" s="882">
        <f t="shared" si="51"/>
        <v>177.16111111112178</v>
      </c>
      <c r="AE170" s="869"/>
      <c r="AF170" s="869"/>
      <c r="AG170" s="869"/>
      <c r="AH170" s="869"/>
      <c r="AI170" s="869"/>
      <c r="AJ170" s="869"/>
      <c r="AK170" s="869"/>
      <c r="AL170" s="869"/>
      <c r="AM170" s="869"/>
      <c r="AN170" s="869"/>
      <c r="AO170" s="869"/>
      <c r="AP170" s="869"/>
      <c r="AQ170" s="869"/>
      <c r="AR170" s="869"/>
      <c r="AS170" s="869"/>
      <c r="AT170" s="869"/>
      <c r="AU170" s="869"/>
      <c r="AV170" s="869"/>
      <c r="AW170" s="869"/>
      <c r="AX170" s="869"/>
    </row>
    <row r="171" spans="8:8" s="852" customFormat="1" customHeight="1">
      <c r="P171" s="859"/>
      <c r="Q171" s="859"/>
      <c r="R171" s="859"/>
      <c r="W171" s="881">
        <f t="shared" si="47"/>
        <v>0.6222222222222598</v>
      </c>
      <c r="X171" s="882">
        <f t="shared" si="51"/>
        <v>177.9555555555663</v>
      </c>
      <c r="AE171" s="869"/>
      <c r="AF171" s="869"/>
      <c r="AG171" s="869"/>
      <c r="AH171" s="869"/>
      <c r="AI171" s="869"/>
      <c r="AJ171" s="869"/>
      <c r="AK171" s="869"/>
      <c r="AL171" s="869"/>
      <c r="AM171" s="869"/>
      <c r="AN171" s="869"/>
      <c r="AO171" s="869"/>
      <c r="AP171" s="869"/>
      <c r="AQ171" s="869"/>
      <c r="AR171" s="869"/>
      <c r="AS171" s="869"/>
      <c r="AT171" s="869"/>
      <c r="AU171" s="869"/>
      <c r="AV171" s="869"/>
      <c r="AW171" s="869"/>
      <c r="AX171" s="869"/>
    </row>
    <row r="172" spans="8:8" s="852" customFormat="1" customHeight="1">
      <c r="P172" s="859"/>
      <c r="Q172" s="859"/>
      <c r="R172" s="859"/>
      <c r="W172" s="867">
        <f t="shared" si="47"/>
        <v>0.6250000000000377</v>
      </c>
      <c r="X172" s="868">
        <f>$D$1*W172</f>
        <v>178.7500000000108</v>
      </c>
      <c r="AE172" s="869"/>
      <c r="AF172" s="869"/>
      <c r="AG172" s="869"/>
      <c r="AH172" s="869"/>
      <c r="AI172" s="869"/>
      <c r="AJ172" s="869"/>
      <c r="AK172" s="869"/>
      <c r="AL172" s="869"/>
      <c r="AM172" s="869"/>
      <c r="AN172" s="869"/>
      <c r="AO172" s="869"/>
      <c r="AP172" s="869"/>
      <c r="AQ172" s="869"/>
      <c r="AR172" s="869"/>
      <c r="AS172" s="869"/>
      <c r="AT172" s="869"/>
      <c r="AU172" s="869"/>
      <c r="AV172" s="869"/>
      <c r="AW172" s="869"/>
      <c r="AX172" s="869"/>
    </row>
    <row r="173" spans="8:8" s="852" customFormat="1" customHeight="1">
      <c r="P173" s="859"/>
      <c r="Q173" s="859"/>
      <c r="R173" s="859"/>
      <c r="W173" s="881">
        <f t="shared" si="47"/>
        <v>0.6277777777778157</v>
      </c>
      <c r="X173" s="882">
        <f>$D$1*W173</f>
        <v>179.5444444444553</v>
      </c>
      <c r="AE173" s="869"/>
      <c r="AF173" s="869"/>
      <c r="AG173" s="869"/>
      <c r="AH173" s="869"/>
      <c r="AI173" s="869"/>
      <c r="AJ173" s="869"/>
      <c r="AK173" s="869"/>
      <c r="AL173" s="869"/>
      <c r="AM173" s="869"/>
      <c r="AN173" s="869"/>
      <c r="AO173" s="869"/>
      <c r="AP173" s="869"/>
      <c r="AQ173" s="869"/>
      <c r="AR173" s="869"/>
      <c r="AS173" s="869"/>
      <c r="AT173" s="869"/>
      <c r="AU173" s="869"/>
      <c r="AV173" s="869"/>
      <c r="AW173" s="869"/>
      <c r="AX173" s="869"/>
    </row>
    <row r="174" spans="8:8" s="852" customFormat="1" customHeight="1">
      <c r="P174" s="859"/>
      <c r="Q174" s="859"/>
      <c r="R174" s="859"/>
      <c r="W174" s="881">
        <f t="shared" si="47"/>
        <v>0.6305555555555937</v>
      </c>
      <c r="X174" s="882">
        <f t="shared" si="52" ref="X174:X180">$D$1*W174</f>
        <v>180.33888888889982</v>
      </c>
      <c r="AE174" s="869"/>
      <c r="AF174" s="869"/>
      <c r="AG174" s="869"/>
      <c r="AH174" s="869"/>
      <c r="AI174" s="869"/>
      <c r="AJ174" s="869"/>
      <c r="AK174" s="869"/>
      <c r="AL174" s="869"/>
      <c r="AM174" s="869"/>
      <c r="AN174" s="869"/>
      <c r="AO174" s="869"/>
      <c r="AP174" s="869"/>
      <c r="AQ174" s="869"/>
      <c r="AR174" s="869"/>
      <c r="AS174" s="869"/>
      <c r="AT174" s="869"/>
      <c r="AU174" s="869"/>
      <c r="AV174" s="869"/>
      <c r="AW174" s="869"/>
      <c r="AX174" s="869"/>
    </row>
    <row r="175" spans="8:8" s="852" customFormat="1" customHeight="1">
      <c r="P175" s="859"/>
      <c r="Q175" s="859"/>
      <c r="R175" s="859"/>
      <c r="W175" s="881">
        <f t="shared" si="47"/>
        <v>0.6333333333333717</v>
      </c>
      <c r="X175" s="882">
        <f t="shared" si="52"/>
        <v>181.13333333334432</v>
      </c>
      <c r="AE175" s="869"/>
      <c r="AF175" s="869"/>
      <c r="AG175" s="869"/>
      <c r="AH175" s="869"/>
      <c r="AI175" s="869"/>
      <c r="AJ175" s="869"/>
      <c r="AK175" s="869"/>
      <c r="AL175" s="869"/>
      <c r="AM175" s="869"/>
      <c r="AN175" s="869"/>
      <c r="AO175" s="869"/>
      <c r="AP175" s="869"/>
      <c r="AQ175" s="869"/>
      <c r="AR175" s="869"/>
      <c r="AS175" s="869"/>
      <c r="AT175" s="869"/>
      <c r="AU175" s="869"/>
      <c r="AV175" s="869"/>
      <c r="AW175" s="869"/>
      <c r="AX175" s="869"/>
    </row>
    <row r="176" spans="8:8" s="852" customFormat="1" customHeight="1">
      <c r="P176" s="859"/>
      <c r="Q176" s="859"/>
      <c r="R176" s="859"/>
      <c r="W176" s="881">
        <f t="shared" si="47"/>
        <v>0.6361111111111498</v>
      </c>
      <c r="X176" s="882">
        <f>$D$1*W176</f>
        <v>181.92777777778886</v>
      </c>
      <c r="AE176" s="869"/>
      <c r="AF176" s="869"/>
      <c r="AG176" s="869"/>
      <c r="AH176" s="869"/>
      <c r="AI176" s="869"/>
      <c r="AJ176" s="869"/>
      <c r="AK176" s="869"/>
      <c r="AL176" s="869"/>
      <c r="AM176" s="869"/>
      <c r="AN176" s="869"/>
      <c r="AO176" s="869"/>
      <c r="AP176" s="869"/>
      <c r="AQ176" s="869"/>
      <c r="AR176" s="869"/>
      <c r="AS176" s="869"/>
      <c r="AT176" s="869"/>
      <c r="AU176" s="869"/>
      <c r="AV176" s="869"/>
      <c r="AW176" s="869"/>
      <c r="AX176" s="869"/>
    </row>
    <row r="177" spans="8:8" s="852" customFormat="1" customHeight="1">
      <c r="P177" s="859"/>
      <c r="Q177" s="859"/>
      <c r="R177" s="859"/>
      <c r="W177" s="881">
        <f t="shared" si="47"/>
        <v>0.6388888888889278</v>
      </c>
      <c r="X177" s="882">
        <f t="shared" si="52"/>
        <v>182.72222222223334</v>
      </c>
      <c r="AE177" s="869"/>
      <c r="AF177" s="869"/>
      <c r="AG177" s="869"/>
      <c r="AH177" s="869"/>
      <c r="AI177" s="869"/>
      <c r="AJ177" s="869"/>
      <c r="AK177" s="869"/>
      <c r="AL177" s="869"/>
      <c r="AM177" s="869"/>
      <c r="AN177" s="869"/>
      <c r="AO177" s="869"/>
      <c r="AP177" s="869"/>
      <c r="AQ177" s="869"/>
      <c r="AR177" s="869"/>
      <c r="AS177" s="869"/>
      <c r="AT177" s="869"/>
      <c r="AU177" s="869"/>
      <c r="AV177" s="869"/>
      <c r="AW177" s="869"/>
      <c r="AX177" s="869"/>
    </row>
    <row r="178" spans="8:8" s="852" customFormat="1" customHeight="1">
      <c r="P178" s="859"/>
      <c r="Q178" s="859"/>
      <c r="R178" s="859"/>
      <c r="W178" s="881">
        <f t="shared" si="47"/>
        <v>0.6416666666667058</v>
      </c>
      <c r="X178" s="882">
        <f t="shared" si="52"/>
        <v>183.51666666667785</v>
      </c>
      <c r="AE178" s="869"/>
      <c r="AF178" s="869"/>
      <c r="AG178" s="869"/>
      <c r="AH178" s="869"/>
      <c r="AI178" s="869"/>
      <c r="AJ178" s="869"/>
      <c r="AK178" s="869"/>
      <c r="AL178" s="869"/>
      <c r="AM178" s="869"/>
      <c r="AN178" s="869"/>
      <c r="AO178" s="869"/>
      <c r="AP178" s="869"/>
      <c r="AQ178" s="869"/>
      <c r="AR178" s="869"/>
      <c r="AS178" s="869"/>
      <c r="AT178" s="869"/>
      <c r="AU178" s="869"/>
      <c r="AV178" s="869"/>
      <c r="AW178" s="869"/>
      <c r="AX178" s="869"/>
    </row>
    <row r="179" spans="8:8" s="852" ht="13.5" customFormat="1" customHeight="1">
      <c r="P179" s="859"/>
      <c r="Q179" s="859"/>
      <c r="R179" s="859"/>
      <c r="W179" s="881">
        <f t="shared" si="47"/>
        <v>0.6444444444444838</v>
      </c>
      <c r="X179" s="882">
        <f t="shared" si="52"/>
        <v>184.31111111112236</v>
      </c>
      <c r="AE179" s="869"/>
      <c r="AF179" s="869"/>
      <c r="AG179" s="869"/>
      <c r="AH179" s="869"/>
      <c r="AI179" s="869"/>
      <c r="AJ179" s="869"/>
      <c r="AK179" s="869"/>
      <c r="AL179" s="869"/>
      <c r="AM179" s="869"/>
      <c r="AN179" s="869"/>
      <c r="AO179" s="869"/>
      <c r="AP179" s="869"/>
      <c r="AQ179" s="869"/>
      <c r="AR179" s="869"/>
      <c r="AS179" s="869"/>
      <c r="AT179" s="869"/>
      <c r="AU179" s="869"/>
      <c r="AV179" s="869"/>
      <c r="AW179" s="869"/>
      <c r="AX179" s="869"/>
    </row>
    <row r="180" spans="8:8" s="852" customFormat="1" customHeight="1">
      <c r="P180" s="859"/>
      <c r="Q180" s="859"/>
      <c r="R180" s="859"/>
      <c r="W180" s="881">
        <f t="shared" si="47"/>
        <v>0.6472222222222618</v>
      </c>
      <c r="X180" s="882">
        <f t="shared" si="52"/>
        <v>185.10555555556687</v>
      </c>
      <c r="AC180" s="859"/>
      <c r="AD180" s="859"/>
      <c r="AE180" s="869"/>
      <c r="AF180" s="869"/>
      <c r="AG180" s="869"/>
      <c r="AH180" s="869"/>
      <c r="AI180" s="869"/>
      <c r="AJ180" s="869"/>
      <c r="AK180" s="869"/>
      <c r="AL180" s="869"/>
      <c r="AM180" s="869"/>
      <c r="AN180" s="869"/>
      <c r="AO180" s="869"/>
      <c r="AP180" s="869"/>
      <c r="AQ180" s="869"/>
      <c r="AR180" s="869"/>
      <c r="AS180" s="869"/>
      <c r="AT180" s="869"/>
      <c r="AU180" s="869"/>
      <c r="AV180" s="869"/>
      <c r="AW180" s="869"/>
      <c r="AX180" s="869"/>
    </row>
    <row r="181" spans="8:8" s="852" customFormat="1" customHeight="1">
      <c r="P181" s="859"/>
      <c r="Q181" s="859"/>
      <c r="R181" s="859"/>
      <c r="W181" s="867">
        <f t="shared" si="47"/>
        <v>0.6500000000000398</v>
      </c>
      <c r="X181" s="868">
        <f>$D$1*W181</f>
        <v>185.90000000001137</v>
      </c>
      <c r="AC181" s="859"/>
      <c r="AD181" s="859"/>
      <c r="AE181" s="869"/>
      <c r="AF181" s="869"/>
      <c r="AG181" s="869"/>
      <c r="AH181" s="869"/>
      <c r="AI181" s="869"/>
      <c r="AJ181" s="869"/>
      <c r="AK181" s="869"/>
      <c r="AL181" s="869"/>
      <c r="AM181" s="869"/>
      <c r="AN181" s="869"/>
      <c r="AO181" s="869"/>
      <c r="AP181" s="869"/>
      <c r="AQ181" s="869"/>
      <c r="AR181" s="869"/>
      <c r="AS181" s="869"/>
      <c r="AT181" s="869"/>
      <c r="AU181" s="869"/>
      <c r="AV181" s="869"/>
      <c r="AW181" s="869"/>
      <c r="AX181" s="869"/>
    </row>
    <row r="182" spans="8:8" s="852" customFormat="1" customHeight="1">
      <c r="P182" s="859"/>
      <c r="Q182" s="859"/>
      <c r="R182" s="859"/>
      <c r="W182" s="881">
        <f t="shared" si="47"/>
        <v>0.6527777777778178</v>
      </c>
      <c r="X182" s="882">
        <f>$D$1*W182</f>
        <v>186.69444444445588</v>
      </c>
      <c r="AF182" s="869"/>
      <c r="AG182" s="869"/>
      <c r="AH182" s="869"/>
      <c r="AI182" s="869"/>
      <c r="AJ182" s="869"/>
      <c r="AK182" s="869"/>
      <c r="AL182" s="869"/>
      <c r="AM182" s="869"/>
      <c r="AN182" s="869"/>
      <c r="AO182" s="869"/>
      <c r="AP182" s="869"/>
      <c r="AQ182" s="869"/>
      <c r="AR182" s="869"/>
      <c r="AS182" s="869"/>
      <c r="AT182" s="869"/>
      <c r="AU182" s="869"/>
      <c r="AV182" s="869"/>
      <c r="AW182" s="869"/>
      <c r="AX182" s="869"/>
    </row>
    <row r="183" spans="8:8" s="852" ht="13.5" customFormat="1" customHeight="1">
      <c r="P183" s="859"/>
      <c r="Q183" s="859"/>
      <c r="R183" s="859"/>
      <c r="W183" s="881">
        <f t="shared" si="47"/>
        <v>0.6555555555555957</v>
      </c>
      <c r="X183" s="882">
        <f t="shared" si="53" ref="X183:X189">$D$1*W183</f>
        <v>187.4888888889004</v>
      </c>
      <c r="AF183" s="869"/>
      <c r="AG183" s="869"/>
      <c r="AH183" s="869"/>
      <c r="AI183" s="869"/>
      <c r="AJ183" s="869"/>
      <c r="AK183" s="869"/>
      <c r="AL183" s="869"/>
      <c r="AM183" s="869"/>
      <c r="AN183" s="869"/>
      <c r="AO183" s="869"/>
      <c r="AP183" s="869"/>
      <c r="AQ183" s="869"/>
      <c r="AR183" s="869"/>
      <c r="AS183" s="869"/>
      <c r="AT183" s="869"/>
      <c r="AU183" s="869"/>
      <c r="AV183" s="869"/>
      <c r="AW183" s="869"/>
      <c r="AX183" s="869"/>
    </row>
    <row r="184" spans="8:8" s="852" ht="13.5" customFormat="1" customHeight="1">
      <c r="P184" s="859"/>
      <c r="Q184" s="859"/>
      <c r="R184" s="859"/>
      <c r="W184" s="881">
        <f t="shared" si="47"/>
        <v>0.6583333333333737</v>
      </c>
      <c r="X184" s="882">
        <f t="shared" si="53"/>
        <v>188.2833333333449</v>
      </c>
      <c r="AF184" s="869"/>
      <c r="AG184" s="869"/>
      <c r="AH184" s="869"/>
      <c r="AI184" s="869"/>
      <c r="AJ184" s="869"/>
      <c r="AK184" s="869"/>
      <c r="AL184" s="869"/>
      <c r="AM184" s="869"/>
      <c r="AN184" s="869"/>
      <c r="AO184" s="869"/>
      <c r="AP184" s="869"/>
      <c r="AQ184" s="869"/>
      <c r="AR184" s="869"/>
      <c r="AS184" s="869"/>
      <c r="AT184" s="869"/>
      <c r="AU184" s="869"/>
      <c r="AV184" s="869"/>
      <c r="AW184" s="869"/>
      <c r="AX184" s="869"/>
    </row>
    <row r="185" spans="8:8" s="852" customFormat="1" customHeight="1">
      <c r="P185" s="859"/>
      <c r="Q185" s="859"/>
      <c r="R185" s="859"/>
      <c r="W185" s="881">
        <f t="shared" si="47"/>
        <v>0.6611111111111517</v>
      </c>
      <c r="X185" s="882">
        <f t="shared" si="53"/>
        <v>189.0777777777894</v>
      </c>
      <c r="AF185" s="869"/>
      <c r="AG185" s="869"/>
      <c r="AH185" s="869"/>
      <c r="AI185" s="869"/>
      <c r="AJ185" s="869"/>
      <c r="AK185" s="869"/>
      <c r="AL185" s="869"/>
      <c r="AM185" s="869"/>
      <c r="AN185" s="869"/>
      <c r="AO185" s="869"/>
      <c r="AP185" s="869"/>
      <c r="AQ185" s="869"/>
      <c r="AR185" s="869"/>
      <c r="AS185" s="869"/>
      <c r="AT185" s="869"/>
      <c r="AU185" s="869"/>
      <c r="AV185" s="869"/>
      <c r="AW185" s="869"/>
      <c r="AX185" s="869"/>
    </row>
    <row r="186" spans="8:8" s="852" customFormat="1" customHeight="1">
      <c r="P186" s="859"/>
      <c r="Q186" s="859"/>
      <c r="R186" s="859"/>
      <c r="W186" s="881">
        <f t="shared" si="47"/>
        <v>0.6638888888889297</v>
      </c>
      <c r="X186" s="882">
        <f t="shared" si="53"/>
        <v>189.8722222222339</v>
      </c>
      <c r="AF186" s="869"/>
      <c r="AG186" s="869"/>
      <c r="AH186" s="869"/>
      <c r="AI186" s="869"/>
      <c r="AJ186" s="869"/>
      <c r="AK186" s="869"/>
      <c r="AL186" s="869"/>
      <c r="AM186" s="869"/>
      <c r="AN186" s="869"/>
      <c r="AO186" s="869"/>
      <c r="AP186" s="869"/>
      <c r="AQ186" s="869"/>
      <c r="AR186" s="869"/>
      <c r="AS186" s="869"/>
      <c r="AT186" s="869"/>
      <c r="AU186" s="869"/>
      <c r="AV186" s="869"/>
      <c r="AW186" s="869"/>
      <c r="AX186" s="869"/>
    </row>
    <row r="187" spans="8:8" s="852" customFormat="1" customHeight="1">
      <c r="P187" s="859"/>
      <c r="Q187" s="859"/>
      <c r="R187" s="859"/>
      <c r="W187" s="881">
        <f t="shared" si="47"/>
        <v>0.6666666666667078</v>
      </c>
      <c r="X187" s="882">
        <f t="shared" si="53"/>
        <v>190.66666666667842</v>
      </c>
      <c r="AF187" s="869"/>
      <c r="AG187" s="869"/>
      <c r="AH187" s="869"/>
      <c r="AI187" s="869"/>
      <c r="AJ187" s="869"/>
      <c r="AK187" s="869"/>
      <c r="AL187" s="869"/>
      <c r="AM187" s="869"/>
      <c r="AN187" s="869"/>
      <c r="AO187" s="869"/>
      <c r="AP187" s="869"/>
      <c r="AQ187" s="869"/>
      <c r="AR187" s="869"/>
      <c r="AS187" s="869"/>
      <c r="AT187" s="869"/>
      <c r="AU187" s="869"/>
      <c r="AV187" s="869"/>
      <c r="AW187" s="869"/>
      <c r="AX187" s="869"/>
    </row>
    <row r="188" spans="8:8" s="852" customFormat="1" customHeight="1">
      <c r="P188" s="859"/>
      <c r="Q188" s="859"/>
      <c r="R188" s="859"/>
      <c r="W188" s="881">
        <f t="shared" si="47"/>
        <v>0.6694444444444858</v>
      </c>
      <c r="X188" s="882">
        <f t="shared" si="53"/>
        <v>191.46111111112293</v>
      </c>
      <c r="AF188" s="869"/>
      <c r="AG188" s="869"/>
      <c r="AH188" s="869"/>
      <c r="AI188" s="869"/>
      <c r="AJ188" s="869"/>
      <c r="AK188" s="869"/>
      <c r="AL188" s="869"/>
      <c r="AM188" s="869"/>
      <c r="AN188" s="869"/>
      <c r="AO188" s="869"/>
      <c r="AP188" s="869"/>
      <c r="AQ188" s="869"/>
      <c r="AR188" s="869"/>
      <c r="AS188" s="869"/>
      <c r="AT188" s="869"/>
      <c r="AU188" s="869"/>
      <c r="AV188" s="869"/>
      <c r="AW188" s="869"/>
      <c r="AX188" s="869"/>
    </row>
    <row r="189" spans="8:8" s="852" customFormat="1" customHeight="1">
      <c r="P189" s="859"/>
      <c r="Q189" s="859"/>
      <c r="R189" s="859"/>
      <c r="W189" s="881">
        <f t="shared" si="47"/>
        <v>0.6722222222222638</v>
      </c>
      <c r="X189" s="882">
        <f t="shared" si="53"/>
        <v>192.25555555556744</v>
      </c>
      <c r="AF189" s="869"/>
      <c r="AG189" s="869"/>
      <c r="AH189" s="869"/>
      <c r="AI189" s="869"/>
      <c r="AJ189" s="869"/>
      <c r="AK189" s="869"/>
      <c r="AL189" s="869"/>
      <c r="AM189" s="869"/>
      <c r="AN189" s="869"/>
      <c r="AO189" s="869"/>
      <c r="AP189" s="869"/>
      <c r="AQ189" s="869"/>
      <c r="AR189" s="869"/>
      <c r="AS189" s="869"/>
      <c r="AT189" s="869"/>
      <c r="AU189" s="869"/>
      <c r="AV189" s="869"/>
      <c r="AW189" s="869"/>
      <c r="AX189" s="869"/>
    </row>
    <row r="190" spans="8:8" s="852" customFormat="1" customHeight="1">
      <c r="P190" s="859"/>
      <c r="Q190" s="859"/>
      <c r="R190" s="859"/>
      <c r="W190" s="867">
        <f t="shared" si="47"/>
        <v>0.6750000000000418</v>
      </c>
      <c r="X190" s="868">
        <f>$D$1*W190</f>
        <v>193.05000000001195</v>
      </c>
      <c r="AF190" s="869"/>
      <c r="AG190" s="869"/>
      <c r="AH190" s="869"/>
      <c r="AI190" s="869"/>
      <c r="AJ190" s="869"/>
      <c r="AK190" s="869"/>
      <c r="AL190" s="869"/>
      <c r="AM190" s="869"/>
      <c r="AN190" s="869"/>
      <c r="AO190" s="869"/>
      <c r="AP190" s="869"/>
      <c r="AQ190" s="869"/>
      <c r="AR190" s="869"/>
      <c r="AS190" s="869"/>
      <c r="AT190" s="869"/>
      <c r="AU190" s="869"/>
      <c r="AV190" s="869"/>
      <c r="AW190" s="869"/>
      <c r="AX190" s="869"/>
    </row>
    <row r="191" spans="8:8" s="852" customFormat="1" customHeight="1">
      <c r="P191" s="859"/>
      <c r="Q191" s="859"/>
      <c r="R191" s="859"/>
      <c r="W191" s="881">
        <f t="shared" si="47"/>
        <v>0.6777777777778198</v>
      </c>
      <c r="X191" s="882">
        <f>$D$1*W191</f>
        <v>193.84444444445646</v>
      </c>
      <c r="AF191" s="869"/>
      <c r="AG191" s="869"/>
      <c r="AH191" s="869"/>
      <c r="AI191" s="869"/>
      <c r="AJ191" s="869"/>
      <c r="AK191" s="869"/>
      <c r="AL191" s="869"/>
      <c r="AM191" s="869"/>
      <c r="AN191" s="869"/>
      <c r="AO191" s="869"/>
      <c r="AP191" s="869"/>
      <c r="AQ191" s="869"/>
      <c r="AR191" s="869"/>
      <c r="AS191" s="869"/>
      <c r="AT191" s="869"/>
      <c r="AU191" s="869"/>
      <c r="AV191" s="869"/>
      <c r="AW191" s="869"/>
      <c r="AX191" s="869"/>
    </row>
    <row r="192" spans="8:8" s="852" customFormat="1" customHeight="1">
      <c r="P192" s="859"/>
      <c r="Q192" s="859"/>
      <c r="R192" s="859"/>
      <c r="W192" s="881">
        <f t="shared" si="47"/>
        <v>0.6805555555555978</v>
      </c>
      <c r="X192" s="882">
        <f t="shared" si="54" ref="X192:X198">$D$1*W192</f>
        <v>194.63888888890096</v>
      </c>
      <c r="AF192" s="869"/>
      <c r="AG192" s="869"/>
      <c r="AH192" s="869"/>
      <c r="AI192" s="869"/>
      <c r="AJ192" s="869"/>
      <c r="AK192" s="869"/>
      <c r="AL192" s="869"/>
      <c r="AM192" s="869"/>
      <c r="AN192" s="869"/>
      <c r="AO192" s="869"/>
      <c r="AP192" s="869"/>
      <c r="AQ192" s="869"/>
      <c r="AR192" s="869"/>
      <c r="AS192" s="869"/>
      <c r="AT192" s="869"/>
      <c r="AU192" s="869"/>
      <c r="AV192" s="869"/>
      <c r="AW192" s="869"/>
      <c r="AX192" s="869"/>
    </row>
    <row r="193" spans="8:8" s="852" customFormat="1" customHeight="1">
      <c r="P193" s="859"/>
      <c r="Q193" s="859"/>
      <c r="R193" s="859"/>
      <c r="W193" s="881">
        <f t="shared" si="47"/>
        <v>0.6833333333333758</v>
      </c>
      <c r="X193" s="882">
        <f t="shared" si="54"/>
        <v>195.43333333334547</v>
      </c>
      <c r="AF193" s="869"/>
      <c r="AG193" s="869"/>
      <c r="AH193" s="869"/>
      <c r="AI193" s="869"/>
      <c r="AJ193" s="869"/>
      <c r="AK193" s="869"/>
      <c r="AL193" s="869"/>
      <c r="AM193" s="869"/>
      <c r="AN193" s="869"/>
      <c r="AO193" s="869"/>
      <c r="AP193" s="869"/>
      <c r="AQ193" s="869"/>
      <c r="AR193" s="869"/>
      <c r="AS193" s="869"/>
      <c r="AT193" s="869"/>
      <c r="AU193" s="869"/>
      <c r="AV193" s="869"/>
      <c r="AW193" s="869"/>
      <c r="AX193" s="869"/>
    </row>
    <row r="194" spans="8:8" s="852" ht="13.5" customFormat="1" customHeight="1">
      <c r="P194" s="859"/>
      <c r="Q194" s="859"/>
      <c r="R194" s="859"/>
      <c r="W194" s="881">
        <f t="shared" si="55" ref="W194:W257">W193+1/360</f>
        <v>0.6861111111111537</v>
      </c>
      <c r="X194" s="882">
        <f t="shared" si="54"/>
        <v>196.22777777778998</v>
      </c>
      <c r="AF194" s="869"/>
      <c r="AG194" s="869"/>
      <c r="AH194" s="869"/>
      <c r="AI194" s="869"/>
      <c r="AJ194" s="869"/>
      <c r="AK194" s="869"/>
      <c r="AL194" s="869"/>
      <c r="AM194" s="869"/>
      <c r="AN194" s="869"/>
      <c r="AO194" s="869"/>
      <c r="AP194" s="869"/>
      <c r="AQ194" s="869"/>
      <c r="AR194" s="869"/>
      <c r="AS194" s="869"/>
      <c r="AT194" s="869"/>
      <c r="AU194" s="869"/>
      <c r="AV194" s="869"/>
      <c r="AW194" s="869"/>
      <c r="AX194" s="869"/>
    </row>
    <row r="195" spans="8:8" s="852" ht="13.5" customFormat="1" customHeight="1">
      <c r="P195" s="859"/>
      <c r="Q195" s="859"/>
      <c r="R195" s="859"/>
      <c r="W195" s="881">
        <f t="shared" si="55"/>
        <v>0.6888888888889317</v>
      </c>
      <c r="X195" s="882">
        <f t="shared" si="54"/>
        <v>197.0222222222345</v>
      </c>
      <c r="AF195" s="869"/>
      <c r="AG195" s="869"/>
      <c r="AH195" s="869"/>
      <c r="AI195" s="869"/>
      <c r="AJ195" s="869"/>
      <c r="AK195" s="869"/>
      <c r="AL195" s="869"/>
      <c r="AM195" s="869"/>
      <c r="AN195" s="869"/>
      <c r="AO195" s="869"/>
      <c r="AP195" s="869"/>
      <c r="AQ195" s="869"/>
      <c r="AR195" s="869"/>
      <c r="AS195" s="869"/>
      <c r="AT195" s="869"/>
      <c r="AU195" s="869"/>
      <c r="AV195" s="869"/>
      <c r="AW195" s="869"/>
      <c r="AX195" s="869"/>
    </row>
    <row r="196" spans="8:8" s="852" ht="13.5" customFormat="1" customHeight="1">
      <c r="P196" s="859"/>
      <c r="Q196" s="859"/>
      <c r="R196" s="859"/>
      <c r="W196" s="881">
        <f t="shared" si="55"/>
        <v>0.6916666666667097</v>
      </c>
      <c r="X196" s="882">
        <f t="shared" si="54"/>
        <v>197.81666666667897</v>
      </c>
      <c r="AF196" s="869"/>
      <c r="AG196" s="869"/>
      <c r="AH196" s="869"/>
      <c r="AI196" s="869"/>
      <c r="AJ196" s="869"/>
      <c r="AK196" s="869"/>
      <c r="AL196" s="869"/>
      <c r="AM196" s="869"/>
      <c r="AN196" s="869"/>
      <c r="AO196" s="869"/>
      <c r="AP196" s="869"/>
      <c r="AQ196" s="869"/>
      <c r="AR196" s="869"/>
      <c r="AS196" s="869"/>
      <c r="AT196" s="869"/>
      <c r="AU196" s="869"/>
      <c r="AV196" s="869"/>
      <c r="AW196" s="869"/>
      <c r="AX196" s="869"/>
    </row>
    <row r="197" spans="8:8" s="852" customFormat="1" customHeight="1">
      <c r="P197" s="859"/>
      <c r="Q197" s="859"/>
      <c r="R197" s="859"/>
      <c r="W197" s="881">
        <f t="shared" si="55"/>
        <v>0.6944444444444877</v>
      </c>
      <c r="X197" s="882">
        <f t="shared" si="54"/>
        <v>198.61111111112348</v>
      </c>
      <c r="AC197" s="859"/>
      <c r="AD197" s="859"/>
      <c r="AE197" s="869"/>
      <c r="AF197" s="869"/>
      <c r="AG197" s="869"/>
      <c r="AH197" s="869"/>
      <c r="AI197" s="869"/>
      <c r="AJ197" s="869"/>
      <c r="AK197" s="869"/>
      <c r="AL197" s="869"/>
      <c r="AM197" s="869"/>
      <c r="AN197" s="869"/>
      <c r="AO197" s="869"/>
      <c r="AP197" s="869"/>
      <c r="AQ197" s="869"/>
      <c r="AR197" s="869"/>
      <c r="AS197" s="869"/>
      <c r="AT197" s="869"/>
      <c r="AU197" s="869"/>
      <c r="AV197" s="869"/>
      <c r="AW197" s="869"/>
      <c r="AX197" s="869"/>
    </row>
    <row r="198" spans="8:8" s="852" customFormat="1" customHeight="1">
      <c r="P198" s="859"/>
      <c r="Q198" s="859"/>
      <c r="R198" s="859"/>
      <c r="W198" s="881">
        <f t="shared" si="55"/>
        <v>0.6972222222222658</v>
      </c>
      <c r="X198" s="882">
        <f t="shared" si="54"/>
        <v>199.40555555556801</v>
      </c>
      <c r="AC198" s="859"/>
      <c r="AD198" s="859"/>
      <c r="AE198" s="869"/>
      <c r="AF198" s="869"/>
      <c r="AG198" s="869"/>
      <c r="AH198" s="869"/>
      <c r="AI198" s="869"/>
      <c r="AJ198" s="869"/>
      <c r="AK198" s="869"/>
      <c r="AL198" s="869"/>
      <c r="AM198" s="869"/>
      <c r="AN198" s="869"/>
      <c r="AO198" s="869"/>
      <c r="AP198" s="869"/>
      <c r="AQ198" s="869"/>
      <c r="AR198" s="869"/>
      <c r="AS198" s="869"/>
      <c r="AT198" s="869"/>
      <c r="AU198" s="869"/>
      <c r="AV198" s="869"/>
      <c r="AW198" s="869"/>
      <c r="AX198" s="869"/>
    </row>
    <row r="199" spans="8:8" s="852" customFormat="1" customHeight="1">
      <c r="P199" s="859"/>
      <c r="Q199" s="859"/>
      <c r="R199" s="859"/>
      <c r="W199" s="867">
        <f t="shared" si="55"/>
        <v>0.7000000000000438</v>
      </c>
      <c r="X199" s="868">
        <f>$D$1*W199</f>
        <v>200.20000000001252</v>
      </c>
      <c r="AC199" s="859"/>
      <c r="AD199" s="859"/>
      <c r="AE199" s="869"/>
      <c r="AF199" s="869"/>
      <c r="AG199" s="869"/>
      <c r="AH199" s="869"/>
      <c r="AI199" s="869"/>
      <c r="AJ199" s="869"/>
      <c r="AK199" s="869"/>
      <c r="AL199" s="869"/>
      <c r="AM199" s="869"/>
      <c r="AN199" s="869"/>
      <c r="AO199" s="869"/>
      <c r="AP199" s="869"/>
      <c r="AQ199" s="869"/>
      <c r="AR199" s="869"/>
      <c r="AS199" s="869"/>
      <c r="AT199" s="869"/>
      <c r="AU199" s="869"/>
      <c r="AV199" s="869"/>
      <c r="AW199" s="869"/>
      <c r="AX199" s="869"/>
    </row>
    <row r="200" spans="8:8" s="852" customFormat="1" customHeight="1">
      <c r="P200" s="859"/>
      <c r="Q200" s="859"/>
      <c r="R200" s="859"/>
      <c r="W200" s="881">
        <f t="shared" si="55"/>
        <v>0.7027777777778218</v>
      </c>
      <c r="X200" s="882">
        <f>$D$1*W200</f>
        <v>200.99444444445703</v>
      </c>
      <c r="AC200" s="859"/>
      <c r="AD200" s="859"/>
      <c r="AE200" s="869"/>
      <c r="AF200" s="869"/>
      <c r="AG200" s="869"/>
      <c r="AH200" s="869"/>
      <c r="AI200" s="869"/>
      <c r="AJ200" s="869"/>
      <c r="AK200" s="869"/>
      <c r="AL200" s="869"/>
      <c r="AM200" s="869"/>
      <c r="AN200" s="869"/>
      <c r="AO200" s="869"/>
      <c r="AP200" s="869"/>
      <c r="AQ200" s="869"/>
      <c r="AR200" s="869"/>
      <c r="AS200" s="869"/>
      <c r="AT200" s="869"/>
      <c r="AU200" s="869"/>
      <c r="AV200" s="869"/>
      <c r="AW200" s="869"/>
      <c r="AX200" s="869"/>
    </row>
    <row r="201" spans="8:8" s="852" customFormat="1" customHeight="1">
      <c r="P201" s="859"/>
      <c r="Q201" s="859"/>
      <c r="R201" s="859"/>
      <c r="W201" s="881">
        <f t="shared" si="55"/>
        <v>0.7055555555555998</v>
      </c>
      <c r="X201" s="882">
        <f t="shared" si="56" ref="X201:X207">$D$1*W201</f>
        <v>201.78888888890154</v>
      </c>
      <c r="AC201" s="859"/>
      <c r="AD201" s="859"/>
      <c r="AE201" s="869"/>
      <c r="AF201" s="869"/>
      <c r="AG201" s="869"/>
      <c r="AH201" s="869"/>
      <c r="AI201" s="869"/>
      <c r="AJ201" s="869"/>
      <c r="AK201" s="869"/>
      <c r="AL201" s="869"/>
      <c r="AM201" s="869"/>
      <c r="AN201" s="869"/>
      <c r="AO201" s="869"/>
      <c r="AP201" s="869"/>
      <c r="AQ201" s="869"/>
      <c r="AR201" s="869"/>
      <c r="AS201" s="869"/>
      <c r="AT201" s="869"/>
      <c r="AU201" s="869"/>
      <c r="AV201" s="869"/>
      <c r="AW201" s="869"/>
      <c r="AX201" s="869"/>
    </row>
    <row r="202" spans="8:8" s="852" customFormat="1" customHeight="1">
      <c r="P202" s="859"/>
      <c r="Q202" s="859"/>
      <c r="R202" s="859"/>
      <c r="W202" s="881">
        <f t="shared" si="55"/>
        <v>0.7083333333333778</v>
      </c>
      <c r="X202" s="882">
        <f t="shared" si="56"/>
        <v>202.58333333334605</v>
      </c>
      <c r="AC202" s="859"/>
      <c r="AD202" s="859"/>
      <c r="AE202" s="869"/>
      <c r="AF202" s="869"/>
      <c r="AG202" s="869"/>
      <c r="AH202" s="869"/>
      <c r="AI202" s="869"/>
      <c r="AJ202" s="869"/>
      <c r="AK202" s="869"/>
      <c r="AL202" s="869"/>
      <c r="AM202" s="869"/>
      <c r="AN202" s="869"/>
      <c r="AO202" s="869"/>
      <c r="AP202" s="869"/>
      <c r="AQ202" s="869"/>
      <c r="AR202" s="869"/>
      <c r="AS202" s="869"/>
      <c r="AT202" s="869"/>
      <c r="AU202" s="869"/>
      <c r="AV202" s="869"/>
      <c r="AW202" s="869"/>
      <c r="AX202" s="869"/>
    </row>
    <row r="203" spans="8:8" s="852" customFormat="1" customHeight="1">
      <c r="P203" s="859"/>
      <c r="Q203" s="859"/>
      <c r="R203" s="859"/>
      <c r="W203" s="881">
        <f t="shared" si="55"/>
        <v>0.7111111111111558</v>
      </c>
      <c r="X203" s="882">
        <f t="shared" si="56"/>
        <v>203.37777777779056</v>
      </c>
      <c r="AC203" s="859"/>
      <c r="AD203" s="859"/>
      <c r="AE203" s="869"/>
      <c r="AF203" s="869"/>
      <c r="AG203" s="869"/>
      <c r="AH203" s="869"/>
      <c r="AI203" s="869"/>
      <c r="AJ203" s="869"/>
      <c r="AK203" s="869"/>
      <c r="AL203" s="869"/>
      <c r="AM203" s="869"/>
      <c r="AN203" s="869"/>
      <c r="AO203" s="869"/>
      <c r="AP203" s="869"/>
      <c r="AQ203" s="869"/>
      <c r="AR203" s="869"/>
      <c r="AS203" s="869"/>
      <c r="AT203" s="869"/>
      <c r="AU203" s="869"/>
      <c r="AV203" s="869"/>
      <c r="AW203" s="869"/>
      <c r="AX203" s="869"/>
    </row>
    <row r="204" spans="8:8" s="852" customFormat="1" customHeight="1">
      <c r="P204" s="859"/>
      <c r="Q204" s="859"/>
      <c r="R204" s="859"/>
      <c r="W204" s="881">
        <f t="shared" si="55"/>
        <v>0.7138888888889338</v>
      </c>
      <c r="X204" s="882">
        <f t="shared" si="56"/>
        <v>204.17222222223506</v>
      </c>
      <c r="AC204" s="859"/>
      <c r="AD204" s="859"/>
      <c r="AE204" s="869"/>
      <c r="AF204" s="869"/>
      <c r="AG204" s="869"/>
      <c r="AH204" s="869"/>
      <c r="AI204" s="869"/>
      <c r="AJ204" s="869"/>
      <c r="AK204" s="869"/>
      <c r="AL204" s="869"/>
      <c r="AM204" s="869"/>
      <c r="AN204" s="869"/>
      <c r="AO204" s="869"/>
      <c r="AP204" s="869"/>
      <c r="AQ204" s="869"/>
      <c r="AR204" s="869"/>
      <c r="AS204" s="869"/>
      <c r="AT204" s="869"/>
      <c r="AU204" s="869"/>
      <c r="AV204" s="869"/>
      <c r="AW204" s="869"/>
      <c r="AX204" s="869"/>
    </row>
    <row r="205" spans="8:8" s="852" ht="13.5" customFormat="1" customHeight="1">
      <c r="P205" s="859"/>
      <c r="Q205" s="859"/>
      <c r="R205" s="859"/>
      <c r="W205" s="881">
        <f t="shared" si="55"/>
        <v>0.7166666666667117</v>
      </c>
      <c r="X205" s="882">
        <f t="shared" si="56"/>
        <v>204.96666666667957</v>
      </c>
      <c r="AC205" s="859"/>
      <c r="AD205" s="859"/>
      <c r="AE205" s="869"/>
      <c r="AF205" s="869"/>
      <c r="AG205" s="869"/>
      <c r="AH205" s="869"/>
      <c r="AI205" s="869"/>
      <c r="AJ205" s="869"/>
      <c r="AK205" s="869"/>
      <c r="AL205" s="869"/>
      <c r="AM205" s="869"/>
      <c r="AN205" s="869"/>
      <c r="AO205" s="869"/>
      <c r="AP205" s="869"/>
      <c r="AQ205" s="869"/>
      <c r="AR205" s="869"/>
      <c r="AS205" s="869"/>
      <c r="AT205" s="869"/>
      <c r="AU205" s="869"/>
      <c r="AV205" s="869"/>
      <c r="AW205" s="869"/>
      <c r="AX205" s="869"/>
    </row>
    <row r="206" spans="8:8" s="852" customFormat="1" customHeight="1">
      <c r="P206" s="859"/>
      <c r="Q206" s="859"/>
      <c r="R206" s="859"/>
      <c r="W206" s="881">
        <f t="shared" si="55"/>
        <v>0.7194444444444897</v>
      </c>
      <c r="X206" s="882">
        <f t="shared" si="56"/>
        <v>205.76111111112405</v>
      </c>
      <c r="AC206" s="859"/>
      <c r="AD206" s="859"/>
      <c r="AE206" s="869"/>
      <c r="AF206" s="869"/>
      <c r="AG206" s="869"/>
      <c r="AH206" s="869"/>
      <c r="AI206" s="869"/>
      <c r="AJ206" s="869"/>
      <c r="AK206" s="869"/>
      <c r="AL206" s="869"/>
      <c r="AM206" s="869"/>
      <c r="AN206" s="869"/>
      <c r="AO206" s="869"/>
      <c r="AP206" s="869"/>
      <c r="AQ206" s="869"/>
      <c r="AR206" s="869"/>
      <c r="AS206" s="869"/>
      <c r="AT206" s="869"/>
      <c r="AU206" s="869"/>
      <c r="AV206" s="869"/>
      <c r="AW206" s="869"/>
      <c r="AX206" s="869"/>
    </row>
    <row r="207" spans="8:8" s="852" customFormat="1" customHeight="1">
      <c r="P207" s="859"/>
      <c r="Q207" s="859"/>
      <c r="R207" s="859"/>
      <c r="W207" s="881">
        <f t="shared" si="55"/>
        <v>0.7222222222222677</v>
      </c>
      <c r="X207" s="882">
        <f t="shared" si="56"/>
        <v>206.55555555556856</v>
      </c>
      <c r="AC207" s="859"/>
      <c r="AD207" s="859"/>
      <c r="AE207" s="869"/>
      <c r="AF207" s="869"/>
      <c r="AG207" s="869"/>
      <c r="AH207" s="869"/>
      <c r="AI207" s="869"/>
      <c r="AJ207" s="869"/>
      <c r="AK207" s="869"/>
      <c r="AL207" s="869"/>
      <c r="AM207" s="869"/>
      <c r="AN207" s="869"/>
      <c r="AO207" s="869"/>
      <c r="AP207" s="869"/>
      <c r="AQ207" s="869"/>
      <c r="AR207" s="869"/>
      <c r="AS207" s="869"/>
      <c r="AT207" s="869"/>
      <c r="AU207" s="869"/>
      <c r="AV207" s="869"/>
      <c r="AW207" s="869"/>
      <c r="AX207" s="869"/>
    </row>
    <row r="208" spans="8:8" s="852" customFormat="1" customHeight="1">
      <c r="P208" s="859"/>
      <c r="Q208" s="859"/>
      <c r="R208" s="859"/>
      <c r="W208" s="867">
        <f t="shared" si="55"/>
        <v>0.7250000000000457</v>
      </c>
      <c r="X208" s="868">
        <f>$D$1*W208</f>
        <v>207.35000000001307</v>
      </c>
      <c r="AC208" s="859"/>
      <c r="AD208" s="859"/>
      <c r="AE208" s="869"/>
      <c r="AF208" s="869"/>
      <c r="AG208" s="869"/>
      <c r="AH208" s="869"/>
      <c r="AI208" s="869"/>
      <c r="AJ208" s="869"/>
      <c r="AK208" s="869"/>
      <c r="AL208" s="869"/>
      <c r="AM208" s="869"/>
      <c r="AN208" s="869"/>
      <c r="AO208" s="869"/>
      <c r="AP208" s="869"/>
      <c r="AQ208" s="869"/>
      <c r="AR208" s="869"/>
      <c r="AS208" s="869"/>
      <c r="AT208" s="869"/>
      <c r="AU208" s="869"/>
      <c r="AV208" s="869"/>
      <c r="AW208" s="869"/>
      <c r="AX208" s="869"/>
    </row>
    <row r="209" spans="8:8" s="852" ht="13.5" customFormat="1" customHeight="1">
      <c r="P209" s="859"/>
      <c r="Q209" s="859"/>
      <c r="R209" s="859"/>
      <c r="W209" s="881">
        <f t="shared" si="55"/>
        <v>0.7277777777778238</v>
      </c>
      <c r="X209" s="882">
        <f>$D$1*W209</f>
        <v>208.1444444444576</v>
      </c>
      <c r="AC209" s="859"/>
      <c r="AD209" s="859"/>
      <c r="AE209" s="869"/>
      <c r="AF209" s="869"/>
      <c r="AG209" s="869"/>
      <c r="AH209" s="869"/>
      <c r="AI209" s="869"/>
      <c r="AJ209" s="869"/>
      <c r="AK209" s="869"/>
      <c r="AL209" s="869"/>
      <c r="AM209" s="869"/>
      <c r="AN209" s="869"/>
      <c r="AO209" s="869"/>
      <c r="AP209" s="869"/>
      <c r="AQ209" s="869"/>
      <c r="AR209" s="869"/>
      <c r="AS209" s="869"/>
      <c r="AT209" s="869"/>
      <c r="AU209" s="869"/>
      <c r="AV209" s="869"/>
      <c r="AW209" s="869"/>
      <c r="AX209" s="869"/>
    </row>
    <row r="210" spans="8:8" s="852" ht="13.5" customFormat="1" customHeight="1">
      <c r="P210" s="859"/>
      <c r="Q210" s="859"/>
      <c r="R210" s="859"/>
      <c r="W210" s="881">
        <f t="shared" si="55"/>
        <v>0.7305555555556018</v>
      </c>
      <c r="X210" s="882">
        <f t="shared" si="57" ref="X210:X216">$D$1*W210</f>
        <v>208.9388888889021</v>
      </c>
      <c r="AC210" s="859"/>
      <c r="AD210" s="859"/>
      <c r="AE210" s="869"/>
      <c r="AF210" s="869"/>
      <c r="AG210" s="869"/>
      <c r="AH210" s="869"/>
      <c r="AI210" s="869"/>
      <c r="AJ210" s="869"/>
      <c r="AK210" s="869"/>
      <c r="AL210" s="869"/>
      <c r="AM210" s="869"/>
      <c r="AN210" s="869"/>
      <c r="AO210" s="869"/>
      <c r="AP210" s="869"/>
      <c r="AQ210" s="869"/>
      <c r="AR210" s="869"/>
      <c r="AS210" s="869"/>
      <c r="AT210" s="869"/>
      <c r="AU210" s="869"/>
      <c r="AV210" s="869"/>
      <c r="AW210" s="869"/>
      <c r="AX210" s="869"/>
    </row>
    <row r="211" spans="8:8" s="852" customFormat="1" customHeight="1">
      <c r="P211" s="859"/>
      <c r="Q211" s="859"/>
      <c r="R211" s="859"/>
      <c r="W211" s="881">
        <f t="shared" si="55"/>
        <v>0.7333333333333798</v>
      </c>
      <c r="X211" s="882">
        <f t="shared" si="57"/>
        <v>209.73333333334662</v>
      </c>
      <c r="AC211" s="859"/>
      <c r="AD211" s="859"/>
      <c r="AE211" s="869"/>
      <c r="AF211" s="869"/>
      <c r="AG211" s="869"/>
      <c r="AH211" s="869"/>
      <c r="AI211" s="869"/>
      <c r="AJ211" s="869"/>
      <c r="AK211" s="869"/>
      <c r="AL211" s="869"/>
      <c r="AM211" s="869"/>
      <c r="AN211" s="869"/>
      <c r="AO211" s="869"/>
      <c r="AP211" s="869"/>
      <c r="AQ211" s="869"/>
      <c r="AR211" s="869"/>
      <c r="AS211" s="869"/>
      <c r="AT211" s="869"/>
      <c r="AU211" s="869"/>
      <c r="AV211" s="869"/>
      <c r="AW211" s="869"/>
      <c r="AX211" s="869"/>
    </row>
    <row r="212" spans="8:8" s="852" customFormat="1" customHeight="1">
      <c r="P212" s="859"/>
      <c r="Q212" s="859"/>
      <c r="R212" s="859"/>
      <c r="W212" s="881">
        <f t="shared" si="55"/>
        <v>0.7361111111111578</v>
      </c>
      <c r="X212" s="882">
        <f t="shared" si="57"/>
        <v>210.52777777779113</v>
      </c>
      <c r="AC212" s="859"/>
      <c r="AD212" s="859"/>
      <c r="AE212" s="869"/>
      <c r="AF212" s="869"/>
      <c r="AG212" s="869"/>
      <c r="AH212" s="869"/>
      <c r="AI212" s="869"/>
      <c r="AJ212" s="869"/>
      <c r="AK212" s="869"/>
      <c r="AL212" s="869"/>
      <c r="AM212" s="869"/>
      <c r="AN212" s="869"/>
      <c r="AO212" s="869"/>
      <c r="AP212" s="869"/>
      <c r="AQ212" s="869"/>
      <c r="AR212" s="869"/>
      <c r="AS212" s="869"/>
      <c r="AT212" s="869"/>
      <c r="AU212" s="869"/>
      <c r="AV212" s="869"/>
      <c r="AW212" s="869"/>
      <c r="AX212" s="869"/>
    </row>
    <row r="213" spans="8:8" s="852" customFormat="1" customHeight="1">
      <c r="P213" s="859"/>
      <c r="Q213" s="859"/>
      <c r="R213" s="859"/>
      <c r="W213" s="881">
        <f t="shared" si="55"/>
        <v>0.7388888888889358</v>
      </c>
      <c r="X213" s="882">
        <f t="shared" si="57"/>
        <v>211.32222222223564</v>
      </c>
      <c r="AC213" s="859"/>
      <c r="AD213" s="859"/>
      <c r="AE213" s="869"/>
      <c r="AF213" s="869"/>
      <c r="AG213" s="869"/>
      <c r="AH213" s="869"/>
      <c r="AI213" s="869"/>
      <c r="AJ213" s="869"/>
      <c r="AK213" s="869"/>
      <c r="AL213" s="869"/>
      <c r="AM213" s="869"/>
      <c r="AN213" s="869"/>
      <c r="AO213" s="869"/>
      <c r="AP213" s="869"/>
      <c r="AQ213" s="869"/>
      <c r="AR213" s="869"/>
      <c r="AS213" s="869"/>
      <c r="AT213" s="869"/>
      <c r="AU213" s="869"/>
      <c r="AV213" s="869"/>
      <c r="AW213" s="869"/>
      <c r="AX213" s="869"/>
    </row>
    <row r="214" spans="8:8" s="852" customFormat="1" customHeight="1">
      <c r="P214" s="859"/>
      <c r="Q214" s="859"/>
      <c r="R214" s="859"/>
      <c r="W214" s="881">
        <f t="shared" si="55"/>
        <v>0.7416666666667138</v>
      </c>
      <c r="X214" s="882">
        <f t="shared" si="57"/>
        <v>212.11666666668015</v>
      </c>
      <c r="AC214" s="859"/>
      <c r="AD214" s="859"/>
      <c r="AE214" s="869"/>
      <c r="AF214" s="869"/>
      <c r="AG214" s="869"/>
      <c r="AH214" s="869"/>
      <c r="AI214" s="869"/>
      <c r="AJ214" s="869"/>
      <c r="AK214" s="869"/>
      <c r="AL214" s="869"/>
      <c r="AM214" s="869"/>
      <c r="AN214" s="869"/>
      <c r="AO214" s="869"/>
      <c r="AP214" s="869"/>
      <c r="AQ214" s="869"/>
      <c r="AR214" s="869"/>
      <c r="AS214" s="869"/>
      <c r="AT214" s="869"/>
      <c r="AU214" s="869"/>
      <c r="AV214" s="869"/>
      <c r="AW214" s="869"/>
      <c r="AX214" s="869"/>
    </row>
    <row r="215" spans="8:8" s="852" customFormat="1" customHeight="1">
      <c r="P215" s="859"/>
      <c r="Q215" s="859"/>
      <c r="R215" s="859"/>
      <c r="W215" s="881">
        <f t="shared" si="55"/>
        <v>0.7444444444444918</v>
      </c>
      <c r="X215" s="882">
        <f t="shared" si="57"/>
        <v>212.91111111112465</v>
      </c>
      <c r="AC215" s="859"/>
      <c r="AD215" s="859"/>
      <c r="AE215" s="869"/>
      <c r="AF215" s="869"/>
      <c r="AG215" s="869"/>
      <c r="AH215" s="869"/>
      <c r="AI215" s="869"/>
      <c r="AJ215" s="869"/>
      <c r="AK215" s="869"/>
      <c r="AL215" s="869"/>
      <c r="AM215" s="869"/>
      <c r="AN215" s="869"/>
      <c r="AO215" s="869"/>
      <c r="AP215" s="869"/>
      <c r="AQ215" s="869"/>
      <c r="AR215" s="869"/>
      <c r="AS215" s="869"/>
      <c r="AT215" s="869"/>
      <c r="AU215" s="869"/>
      <c r="AV215" s="869"/>
      <c r="AW215" s="869"/>
      <c r="AX215" s="869"/>
    </row>
    <row r="216" spans="8:8" s="852" customFormat="1" customHeight="1">
      <c r="P216" s="859"/>
      <c r="Q216" s="859"/>
      <c r="R216" s="859"/>
      <c r="W216" s="881">
        <f t="shared" si="55"/>
        <v>0.7472222222222697</v>
      </c>
      <c r="X216" s="882">
        <f t="shared" si="57"/>
        <v>213.70555555556916</v>
      </c>
      <c r="AC216" s="859"/>
      <c r="AD216" s="859"/>
      <c r="AE216" s="869"/>
      <c r="AF216" s="869"/>
      <c r="AG216" s="869"/>
      <c r="AH216" s="869"/>
      <c r="AI216" s="869"/>
      <c r="AJ216" s="869"/>
      <c r="AK216" s="869"/>
      <c r="AL216" s="869"/>
      <c r="AM216" s="869"/>
      <c r="AN216" s="869"/>
      <c r="AO216" s="869"/>
      <c r="AP216" s="869"/>
      <c r="AQ216" s="869"/>
      <c r="AR216" s="869"/>
      <c r="AS216" s="869"/>
      <c r="AT216" s="869"/>
      <c r="AU216" s="869"/>
      <c r="AV216" s="869"/>
      <c r="AW216" s="869"/>
      <c r="AX216" s="869"/>
    </row>
    <row r="217" spans="8:8" s="852" customFormat="1" customHeight="1">
      <c r="P217" s="859"/>
      <c r="Q217" s="859"/>
      <c r="R217" s="859"/>
      <c r="W217" s="867">
        <f t="shared" si="55"/>
        <v>0.7500000000000477</v>
      </c>
      <c r="X217" s="868">
        <f>$D$1*W217</f>
        <v>214.50000000001364</v>
      </c>
      <c r="AC217" s="859"/>
      <c r="AD217" s="859"/>
      <c r="AE217" s="869"/>
      <c r="AF217" s="869"/>
      <c r="AG217" s="869"/>
      <c r="AH217" s="869"/>
      <c r="AI217" s="869"/>
      <c r="AJ217" s="869"/>
      <c r="AK217" s="869"/>
      <c r="AL217" s="869"/>
      <c r="AM217" s="869"/>
      <c r="AN217" s="869"/>
      <c r="AO217" s="869"/>
      <c r="AP217" s="869"/>
      <c r="AQ217" s="869"/>
      <c r="AR217" s="869"/>
      <c r="AS217" s="869"/>
      <c r="AT217" s="869"/>
      <c r="AU217" s="869"/>
      <c r="AV217" s="869"/>
      <c r="AW217" s="869"/>
      <c r="AX217" s="869"/>
    </row>
    <row r="218" spans="8:8" s="852" customFormat="1" customHeight="1">
      <c r="P218" s="859"/>
      <c r="Q218" s="859"/>
      <c r="R218" s="859"/>
      <c r="W218" s="881">
        <f t="shared" si="55"/>
        <v>0.7527777777778257</v>
      </c>
      <c r="X218" s="882">
        <f>$D$1*W218</f>
        <v>215.29444444445815</v>
      </c>
      <c r="AC218" s="859"/>
      <c r="AD218" s="859"/>
      <c r="AE218" s="869"/>
      <c r="AF218" s="869"/>
      <c r="AG218" s="869"/>
      <c r="AH218" s="869"/>
      <c r="AI218" s="869"/>
      <c r="AJ218" s="869"/>
      <c r="AK218" s="869"/>
      <c r="AL218" s="869"/>
      <c r="AM218" s="869"/>
      <c r="AN218" s="869"/>
      <c r="AO218" s="869"/>
      <c r="AP218" s="869"/>
      <c r="AQ218" s="869"/>
      <c r="AR218" s="869"/>
      <c r="AS218" s="869"/>
      <c r="AT218" s="869"/>
      <c r="AU218" s="869"/>
      <c r="AV218" s="869"/>
      <c r="AW218" s="869"/>
      <c r="AX218" s="869"/>
    </row>
    <row r="219" spans="8:8" s="852" customFormat="1" customHeight="1">
      <c r="P219" s="859"/>
      <c r="Q219" s="859"/>
      <c r="R219" s="859"/>
      <c r="W219" s="881">
        <f t="shared" si="55"/>
        <v>0.7555555555556037</v>
      </c>
      <c r="X219" s="882">
        <f t="shared" si="58" ref="X219:X225">$D$1*W219</f>
        <v>216.08888888890266</v>
      </c>
      <c r="AC219" s="859"/>
      <c r="AD219" s="859"/>
      <c r="AE219" s="869"/>
      <c r="AF219" s="869"/>
      <c r="AG219" s="869"/>
      <c r="AH219" s="869"/>
      <c r="AI219" s="869"/>
      <c r="AJ219" s="869"/>
      <c r="AK219" s="869"/>
      <c r="AL219" s="869"/>
      <c r="AM219" s="869"/>
      <c r="AN219" s="869"/>
      <c r="AO219" s="869"/>
      <c r="AP219" s="869"/>
      <c r="AQ219" s="869"/>
      <c r="AR219" s="869"/>
      <c r="AS219" s="869"/>
      <c r="AT219" s="869"/>
      <c r="AU219" s="869"/>
      <c r="AV219" s="869"/>
      <c r="AW219" s="869"/>
      <c r="AX219" s="869"/>
    </row>
    <row r="220" spans="8:8" s="852" ht="13.5" customFormat="1" customHeight="1">
      <c r="P220" s="859"/>
      <c r="Q220" s="859"/>
      <c r="R220" s="859"/>
      <c r="W220" s="881">
        <f t="shared" si="55"/>
        <v>0.7583333333333818</v>
      </c>
      <c r="X220" s="882">
        <f t="shared" si="58"/>
        <v>216.8833333333472</v>
      </c>
      <c r="AC220" s="859"/>
      <c r="AD220" s="859"/>
      <c r="AE220" s="869"/>
      <c r="AF220" s="869"/>
      <c r="AG220" s="869"/>
      <c r="AH220" s="869"/>
      <c r="AI220" s="869"/>
      <c r="AJ220" s="869"/>
      <c r="AK220" s="869"/>
      <c r="AL220" s="869"/>
      <c r="AM220" s="869"/>
      <c r="AN220" s="869"/>
      <c r="AO220" s="869"/>
      <c r="AP220" s="869"/>
      <c r="AQ220" s="869"/>
      <c r="AR220" s="869"/>
      <c r="AS220" s="869"/>
      <c r="AT220" s="869"/>
      <c r="AU220" s="869"/>
      <c r="AV220" s="869"/>
      <c r="AW220" s="869"/>
      <c r="AX220" s="869"/>
    </row>
    <row r="221" spans="8:8" s="852" ht="13.5" customFormat="1" customHeight="1">
      <c r="P221" s="859"/>
      <c r="Q221" s="859"/>
      <c r="R221" s="859"/>
      <c r="W221" s="881">
        <f t="shared" si="55"/>
        <v>0.7611111111111598</v>
      </c>
      <c r="X221" s="882">
        <f t="shared" si="58"/>
        <v>217.6777777777917</v>
      </c>
      <c r="AC221" s="859"/>
      <c r="AD221" s="859"/>
      <c r="AE221" s="869"/>
      <c r="AF221" s="869"/>
      <c r="AG221" s="869"/>
      <c r="AH221" s="869"/>
      <c r="AI221" s="869"/>
      <c r="AJ221" s="869"/>
      <c r="AK221" s="869"/>
      <c r="AL221" s="869"/>
      <c r="AM221" s="869"/>
      <c r="AN221" s="869"/>
      <c r="AO221" s="869"/>
      <c r="AP221" s="869"/>
      <c r="AQ221" s="869"/>
      <c r="AR221" s="869"/>
      <c r="AS221" s="869"/>
      <c r="AT221" s="869"/>
      <c r="AU221" s="869"/>
      <c r="AV221" s="869"/>
      <c r="AW221" s="869"/>
      <c r="AX221" s="869"/>
    </row>
    <row r="222" spans="8:8" s="852" ht="13.5" customFormat="1" customHeight="1">
      <c r="P222" s="859"/>
      <c r="Q222" s="859"/>
      <c r="R222" s="859"/>
      <c r="W222" s="881">
        <f t="shared" si="55"/>
        <v>0.7638888888889378</v>
      </c>
      <c r="X222" s="882">
        <f t="shared" si="58"/>
        <v>218.4722222222362</v>
      </c>
      <c r="AC222" s="859"/>
      <c r="AD222" s="859"/>
      <c r="AE222" s="869"/>
      <c r="AF222" s="869"/>
      <c r="AG222" s="869"/>
      <c r="AH222" s="869"/>
      <c r="AI222" s="869"/>
      <c r="AJ222" s="869"/>
      <c r="AK222" s="869"/>
      <c r="AL222" s="869"/>
      <c r="AM222" s="869"/>
      <c r="AN222" s="869"/>
      <c r="AO222" s="869"/>
      <c r="AP222" s="869"/>
      <c r="AQ222" s="869"/>
      <c r="AR222" s="869"/>
      <c r="AS222" s="869"/>
      <c r="AT222" s="869"/>
      <c r="AU222" s="869"/>
      <c r="AV222" s="869"/>
      <c r="AW222" s="869"/>
      <c r="AX222" s="869"/>
    </row>
    <row r="223" spans="8:8" s="852" customFormat="1" customHeight="1">
      <c r="P223" s="859"/>
      <c r="Q223" s="859"/>
      <c r="R223" s="859"/>
      <c r="W223" s="881">
        <f t="shared" si="55"/>
        <v>0.7666666666667158</v>
      </c>
      <c r="X223" s="882">
        <f t="shared" si="58"/>
        <v>219.26666666668072</v>
      </c>
      <c r="AC223" s="859"/>
      <c r="AD223" s="859"/>
      <c r="AE223" s="869"/>
      <c r="AF223" s="869"/>
      <c r="AG223" s="869"/>
      <c r="AH223" s="869"/>
      <c r="AI223" s="869"/>
      <c r="AJ223" s="869"/>
      <c r="AK223" s="869"/>
      <c r="AL223" s="869"/>
      <c r="AM223" s="869"/>
      <c r="AN223" s="869"/>
      <c r="AO223" s="869"/>
      <c r="AP223" s="869"/>
      <c r="AQ223" s="869"/>
      <c r="AR223" s="869"/>
      <c r="AS223" s="869"/>
      <c r="AT223" s="869"/>
      <c r="AU223" s="869"/>
      <c r="AV223" s="869"/>
      <c r="AW223" s="869"/>
      <c r="AX223" s="869"/>
    </row>
    <row r="224" spans="8:8" s="852" customFormat="1" customHeight="1">
      <c r="P224" s="859"/>
      <c r="Q224" s="859"/>
      <c r="R224" s="859"/>
      <c r="W224" s="881">
        <f t="shared" si="55"/>
        <v>0.7694444444444938</v>
      </c>
      <c r="X224" s="882">
        <f t="shared" si="58"/>
        <v>220.06111111112523</v>
      </c>
      <c r="AC224" s="859"/>
      <c r="AD224" s="859"/>
      <c r="AE224" s="869"/>
      <c r="AF224" s="869"/>
      <c r="AG224" s="869"/>
      <c r="AH224" s="869"/>
      <c r="AI224" s="869"/>
      <c r="AJ224" s="869"/>
      <c r="AK224" s="869"/>
      <c r="AL224" s="869"/>
      <c r="AM224" s="869"/>
      <c r="AN224" s="869"/>
      <c r="AO224" s="869"/>
      <c r="AP224" s="869"/>
      <c r="AQ224" s="869"/>
      <c r="AR224" s="869"/>
      <c r="AS224" s="869"/>
      <c r="AT224" s="869"/>
      <c r="AU224" s="869"/>
      <c r="AV224" s="869"/>
      <c r="AW224" s="869"/>
      <c r="AX224" s="869"/>
    </row>
    <row r="225" spans="8:8" s="852" customFormat="1" customHeight="1">
      <c r="P225" s="859"/>
      <c r="Q225" s="859"/>
      <c r="R225" s="859"/>
      <c r="W225" s="881">
        <f t="shared" si="55"/>
        <v>0.7722222222222718</v>
      </c>
      <c r="X225" s="882">
        <f t="shared" si="58"/>
        <v>220.85555555556974</v>
      </c>
      <c r="AC225" s="859"/>
      <c r="AD225" s="859"/>
      <c r="AE225" s="869"/>
      <c r="AF225" s="869"/>
      <c r="AG225" s="869"/>
      <c r="AH225" s="869"/>
      <c r="AI225" s="869"/>
      <c r="AJ225" s="869"/>
      <c r="AK225" s="869"/>
      <c r="AL225" s="869"/>
      <c r="AM225" s="869"/>
      <c r="AN225" s="869"/>
      <c r="AO225" s="869"/>
      <c r="AP225" s="869"/>
      <c r="AQ225" s="869"/>
      <c r="AR225" s="869"/>
      <c r="AS225" s="869"/>
      <c r="AT225" s="869"/>
      <c r="AU225" s="869"/>
      <c r="AV225" s="869"/>
      <c r="AW225" s="869"/>
      <c r="AX225" s="869"/>
    </row>
    <row r="226" spans="8:8" s="852" customFormat="1" customHeight="1">
      <c r="P226" s="859"/>
      <c r="Q226" s="859"/>
      <c r="R226" s="859"/>
      <c r="W226" s="867">
        <f t="shared" si="55"/>
        <v>0.7750000000000498</v>
      </c>
      <c r="X226" s="868">
        <f>$D$1*W226</f>
        <v>221.65000000001424</v>
      </c>
      <c r="AC226" s="859"/>
      <c r="AD226" s="859"/>
      <c r="AE226" s="869"/>
      <c r="AF226" s="869"/>
      <c r="AG226" s="869"/>
      <c r="AH226" s="869"/>
      <c r="AI226" s="869"/>
      <c r="AJ226" s="869"/>
      <c r="AK226" s="869"/>
      <c r="AL226" s="869"/>
      <c r="AM226" s="869"/>
      <c r="AN226" s="869"/>
      <c r="AO226" s="869"/>
      <c r="AP226" s="869"/>
      <c r="AQ226" s="869"/>
      <c r="AR226" s="869"/>
      <c r="AS226" s="869"/>
      <c r="AT226" s="869"/>
      <c r="AU226" s="869"/>
      <c r="AV226" s="869"/>
      <c r="AW226" s="869"/>
      <c r="AX226" s="869"/>
    </row>
    <row r="227" spans="8:8" s="852" customFormat="1" customHeight="1">
      <c r="P227" s="859"/>
      <c r="Q227" s="859"/>
      <c r="R227" s="859"/>
      <c r="W227" s="881">
        <f t="shared" si="55"/>
        <v>0.7777777777778278</v>
      </c>
      <c r="X227" s="882">
        <f>$D$1*W227</f>
        <v>222.44444444445872</v>
      </c>
      <c r="AC227" s="859"/>
      <c r="AD227" s="859"/>
      <c r="AE227" s="869"/>
      <c r="AF227" s="869"/>
      <c r="AG227" s="869"/>
      <c r="AH227" s="869"/>
      <c r="AI227" s="869"/>
      <c r="AJ227" s="869"/>
      <c r="AK227" s="869"/>
      <c r="AL227" s="869"/>
      <c r="AM227" s="869"/>
      <c r="AN227" s="869"/>
      <c r="AO227" s="869"/>
      <c r="AP227" s="869"/>
      <c r="AQ227" s="869"/>
      <c r="AR227" s="869"/>
      <c r="AS227" s="869"/>
      <c r="AT227" s="869"/>
      <c r="AU227" s="869"/>
      <c r="AV227" s="869"/>
      <c r="AW227" s="869"/>
      <c r="AX227" s="869"/>
    </row>
    <row r="228" spans="8:8" s="852" customFormat="1" customHeight="1">
      <c r="P228" s="859"/>
      <c r="Q228" s="859"/>
      <c r="R228" s="859"/>
      <c r="W228" s="881">
        <f t="shared" si="55"/>
        <v>0.7805555555556057</v>
      </c>
      <c r="X228" s="882">
        <f t="shared" si="59" ref="X228:X234">$D$1*W228</f>
        <v>223.23888888890323</v>
      </c>
      <c r="AC228" s="859"/>
      <c r="AD228" s="859"/>
      <c r="AE228" s="869"/>
      <c r="AF228" s="869"/>
      <c r="AG228" s="869"/>
      <c r="AH228" s="869"/>
      <c r="AI228" s="869"/>
      <c r="AJ228" s="869"/>
      <c r="AK228" s="869"/>
      <c r="AL228" s="869"/>
      <c r="AM228" s="869"/>
      <c r="AN228" s="869"/>
      <c r="AO228" s="869"/>
      <c r="AP228" s="869"/>
      <c r="AQ228" s="869"/>
      <c r="AR228" s="869"/>
      <c r="AS228" s="869"/>
      <c r="AT228" s="869"/>
      <c r="AU228" s="869"/>
      <c r="AV228" s="869"/>
      <c r="AW228" s="869"/>
      <c r="AX228" s="869"/>
    </row>
    <row r="229" spans="8:8" s="852" customFormat="1" customHeight="1">
      <c r="P229" s="859"/>
      <c r="Q229" s="859"/>
      <c r="R229" s="859"/>
      <c r="W229" s="881">
        <f t="shared" si="55"/>
        <v>0.7833333333333837</v>
      </c>
      <c r="X229" s="882">
        <f t="shared" si="59"/>
        <v>224.03333333334774</v>
      </c>
      <c r="AC229" s="859"/>
      <c r="AD229" s="859"/>
      <c r="AE229" s="869"/>
      <c r="AF229" s="869"/>
      <c r="AG229" s="869"/>
      <c r="AH229" s="869"/>
      <c r="AI229" s="869"/>
      <c r="AJ229" s="869"/>
      <c r="AK229" s="869"/>
      <c r="AL229" s="869"/>
      <c r="AM229" s="869"/>
      <c r="AN229" s="869"/>
      <c r="AO229" s="869"/>
      <c r="AP229" s="869"/>
      <c r="AQ229" s="869"/>
      <c r="AR229" s="869"/>
      <c r="AS229" s="869"/>
      <c r="AT229" s="869"/>
      <c r="AU229" s="869"/>
      <c r="AV229" s="869"/>
      <c r="AW229" s="869"/>
      <c r="AX229" s="869"/>
    </row>
    <row r="230" spans="8:8" s="852" customFormat="1" customHeight="1">
      <c r="P230" s="859"/>
      <c r="Q230" s="859"/>
      <c r="R230" s="859"/>
      <c r="W230" s="881">
        <f t="shared" si="55"/>
        <v>0.7861111111111617</v>
      </c>
      <c r="X230" s="882">
        <f t="shared" si="59"/>
        <v>224.82777777779225</v>
      </c>
      <c r="AC230" s="859"/>
      <c r="AD230" s="859"/>
      <c r="AE230" s="869"/>
      <c r="AF230" s="869"/>
      <c r="AG230" s="869"/>
      <c r="AH230" s="869"/>
      <c r="AI230" s="869"/>
      <c r="AJ230" s="869"/>
      <c r="AK230" s="869"/>
      <c r="AL230" s="869"/>
      <c r="AM230" s="869"/>
      <c r="AN230" s="869"/>
      <c r="AO230" s="869"/>
      <c r="AP230" s="869"/>
      <c r="AQ230" s="869"/>
      <c r="AR230" s="869"/>
      <c r="AS230" s="869"/>
      <c r="AT230" s="869"/>
      <c r="AU230" s="869"/>
      <c r="AV230" s="869"/>
      <c r="AW230" s="869"/>
      <c r="AX230" s="869"/>
    </row>
    <row r="231" spans="8:8" s="852" ht="13.5" customFormat="1" customHeight="1">
      <c r="P231" s="859"/>
      <c r="Q231" s="859"/>
      <c r="R231" s="859"/>
      <c r="W231" s="881">
        <f t="shared" si="55"/>
        <v>0.7888888888889398</v>
      </c>
      <c r="X231" s="882">
        <f t="shared" si="59"/>
        <v>225.6222222222368</v>
      </c>
      <c r="AC231" s="859"/>
      <c r="AD231" s="859"/>
      <c r="AE231" s="869"/>
      <c r="AF231" s="869"/>
      <c r="AG231" s="869"/>
      <c r="AH231" s="869"/>
      <c r="AI231" s="869"/>
      <c r="AJ231" s="869"/>
      <c r="AK231" s="869"/>
      <c r="AL231" s="869"/>
      <c r="AM231" s="869"/>
      <c r="AN231" s="869"/>
      <c r="AO231" s="869"/>
      <c r="AP231" s="869"/>
      <c r="AQ231" s="869"/>
      <c r="AR231" s="869"/>
      <c r="AS231" s="869"/>
      <c r="AT231" s="869"/>
      <c r="AU231" s="869"/>
      <c r="AV231" s="869"/>
      <c r="AW231" s="869"/>
      <c r="AX231" s="869"/>
    </row>
    <row r="232" spans="8:8" s="852" customFormat="1" customHeight="1">
      <c r="P232" s="859"/>
      <c r="Q232" s="859"/>
      <c r="R232" s="859"/>
      <c r="W232" s="881">
        <f t="shared" si="55"/>
        <v>0.7916666666667178</v>
      </c>
      <c r="X232" s="882">
        <f t="shared" si="59"/>
        <v>226.4166666666813</v>
      </c>
      <c r="AC232" s="859"/>
      <c r="AD232" s="859"/>
      <c r="AE232" s="869"/>
      <c r="AF232" s="869"/>
      <c r="AG232" s="869"/>
      <c r="AH232" s="869"/>
      <c r="AI232" s="869"/>
      <c r="AJ232" s="869"/>
      <c r="AK232" s="869"/>
      <c r="AL232" s="869"/>
      <c r="AM232" s="869"/>
      <c r="AN232" s="869"/>
      <c r="AO232" s="869"/>
      <c r="AP232" s="869"/>
      <c r="AQ232" s="869"/>
      <c r="AR232" s="869"/>
      <c r="AS232" s="869"/>
      <c r="AT232" s="869"/>
      <c r="AU232" s="869"/>
      <c r="AV232" s="869"/>
      <c r="AW232" s="869"/>
      <c r="AX232" s="869"/>
    </row>
    <row r="233" spans="8:8" s="852" customFormat="1" customHeight="1">
      <c r="P233" s="859"/>
      <c r="Q233" s="859"/>
      <c r="R233" s="859"/>
      <c r="W233" s="881">
        <f t="shared" si="55"/>
        <v>0.7944444444444958</v>
      </c>
      <c r="X233" s="882">
        <f t="shared" si="59"/>
        <v>227.2111111111258</v>
      </c>
      <c r="AC233" s="859"/>
      <c r="AD233" s="859"/>
      <c r="AE233" s="869"/>
      <c r="AF233" s="869"/>
      <c r="AG233" s="869"/>
      <c r="AH233" s="869"/>
      <c r="AI233" s="869"/>
      <c r="AJ233" s="869"/>
      <c r="AK233" s="869"/>
      <c r="AL233" s="869"/>
      <c r="AM233" s="869"/>
      <c r="AN233" s="869"/>
      <c r="AO233" s="869"/>
      <c r="AP233" s="869"/>
      <c r="AQ233" s="869"/>
      <c r="AR233" s="869"/>
      <c r="AS233" s="869"/>
      <c r="AT233" s="869"/>
      <c r="AU233" s="869"/>
      <c r="AV233" s="869"/>
      <c r="AW233" s="869"/>
      <c r="AX233" s="869"/>
    </row>
    <row r="234" spans="8:8" s="852" customFormat="1" customHeight="1">
      <c r="P234" s="859"/>
      <c r="Q234" s="859"/>
      <c r="R234" s="859"/>
      <c r="W234" s="881">
        <f t="shared" si="55"/>
        <v>0.7972222222222738</v>
      </c>
      <c r="X234" s="882">
        <f t="shared" si="59"/>
        <v>228.0055555555703</v>
      </c>
      <c r="AC234" s="859"/>
      <c r="AD234" s="859"/>
      <c r="AE234" s="869"/>
      <c r="AF234" s="869"/>
      <c r="AG234" s="869"/>
      <c r="AH234" s="869"/>
      <c r="AI234" s="869"/>
      <c r="AJ234" s="869"/>
      <c r="AK234" s="869"/>
      <c r="AL234" s="869"/>
      <c r="AM234" s="869"/>
      <c r="AN234" s="869"/>
      <c r="AO234" s="869"/>
      <c r="AP234" s="869"/>
      <c r="AQ234" s="869"/>
      <c r="AR234" s="869"/>
      <c r="AS234" s="869"/>
      <c r="AT234" s="869"/>
      <c r="AU234" s="869"/>
      <c r="AV234" s="869"/>
      <c r="AW234" s="869"/>
      <c r="AX234" s="869"/>
    </row>
    <row r="235" spans="8:8" s="852" ht="13.5" customFormat="1" customHeight="1">
      <c r="P235" s="859"/>
      <c r="Q235" s="859"/>
      <c r="R235" s="859"/>
      <c r="W235" s="867">
        <f t="shared" si="55"/>
        <v>0.8000000000000518</v>
      </c>
      <c r="X235" s="868">
        <f>$D$1*W235</f>
        <v>228.80000000001482</v>
      </c>
      <c r="AC235" s="859"/>
      <c r="AD235" s="859"/>
      <c r="AE235" s="869"/>
      <c r="AF235" s="869"/>
      <c r="AG235" s="869"/>
      <c r="AH235" s="869"/>
      <c r="AI235" s="869"/>
      <c r="AJ235" s="869"/>
      <c r="AK235" s="869"/>
      <c r="AL235" s="869"/>
      <c r="AM235" s="869"/>
      <c r="AN235" s="869"/>
      <c r="AO235" s="869"/>
      <c r="AP235" s="869"/>
      <c r="AQ235" s="869"/>
      <c r="AR235" s="869"/>
      <c r="AS235" s="869"/>
      <c r="AT235" s="869"/>
      <c r="AU235" s="869"/>
      <c r="AV235" s="869"/>
      <c r="AW235" s="869"/>
      <c r="AX235" s="869"/>
    </row>
    <row r="236" spans="8:8" s="852" ht="13.5" customFormat="1" customHeight="1">
      <c r="P236" s="859"/>
      <c r="Q236" s="859"/>
      <c r="R236" s="859"/>
      <c r="W236" s="881">
        <f t="shared" si="55"/>
        <v>0.8027777777778298</v>
      </c>
      <c r="X236" s="882">
        <f>$D$1*W236</f>
        <v>229.59444444445933</v>
      </c>
      <c r="AC236" s="859"/>
      <c r="AD236" s="859"/>
      <c r="AE236" s="869"/>
      <c r="AF236" s="869"/>
      <c r="AG236" s="869"/>
      <c r="AH236" s="869"/>
      <c r="AI236" s="869"/>
      <c r="AJ236" s="869"/>
      <c r="AK236" s="869"/>
      <c r="AL236" s="869"/>
      <c r="AM236" s="869"/>
      <c r="AN236" s="869"/>
      <c r="AO236" s="869"/>
      <c r="AP236" s="869"/>
      <c r="AQ236" s="869"/>
      <c r="AR236" s="869"/>
      <c r="AS236" s="869"/>
      <c r="AT236" s="869"/>
      <c r="AU236" s="869"/>
      <c r="AV236" s="869"/>
      <c r="AW236" s="869"/>
      <c r="AX236" s="869"/>
    </row>
    <row r="237" spans="8:8" s="852" customFormat="1" customHeight="1">
      <c r="P237" s="859"/>
      <c r="Q237" s="859"/>
      <c r="R237" s="859"/>
      <c r="W237" s="881">
        <f t="shared" si="55"/>
        <v>0.8055555555556078</v>
      </c>
      <c r="X237" s="882">
        <f t="shared" si="60" ref="X237:X243">$D$1*W237</f>
        <v>230.3888888889038</v>
      </c>
      <c r="AC237" s="859"/>
      <c r="AD237" s="859"/>
      <c r="AE237" s="869"/>
      <c r="AF237" s="869"/>
      <c r="AG237" s="869"/>
      <c r="AH237" s="869"/>
      <c r="AI237" s="869"/>
      <c r="AJ237" s="869"/>
      <c r="AK237" s="869"/>
      <c r="AL237" s="869"/>
      <c r="AM237" s="869"/>
      <c r="AN237" s="869"/>
      <c r="AO237" s="869"/>
      <c r="AP237" s="869"/>
      <c r="AQ237" s="869"/>
      <c r="AR237" s="869"/>
      <c r="AS237" s="869"/>
      <c r="AT237" s="869"/>
      <c r="AU237" s="869"/>
      <c r="AV237" s="869"/>
      <c r="AW237" s="869"/>
      <c r="AX237" s="869"/>
    </row>
    <row r="238" spans="8:8" s="852" customFormat="1" customHeight="1">
      <c r="P238" s="859"/>
      <c r="Q238" s="859"/>
      <c r="R238" s="859"/>
      <c r="W238" s="881">
        <f t="shared" si="55"/>
        <v>0.8083333333333858</v>
      </c>
      <c r="X238" s="882">
        <f t="shared" si="60"/>
        <v>231.18333333334832</v>
      </c>
      <c r="AC238" s="859"/>
      <c r="AD238" s="859"/>
      <c r="AE238" s="869"/>
      <c r="AF238" s="869"/>
      <c r="AG238" s="869"/>
      <c r="AH238" s="869"/>
      <c r="AI238" s="869"/>
      <c r="AJ238" s="869"/>
      <c r="AK238" s="869"/>
      <c r="AL238" s="869"/>
      <c r="AM238" s="869"/>
      <c r="AN238" s="869"/>
      <c r="AO238" s="869"/>
      <c r="AP238" s="869"/>
      <c r="AQ238" s="869"/>
      <c r="AR238" s="869"/>
      <c r="AS238" s="869"/>
      <c r="AT238" s="869"/>
      <c r="AU238" s="869"/>
      <c r="AV238" s="869"/>
      <c r="AW238" s="869"/>
      <c r="AX238" s="869"/>
    </row>
    <row r="239" spans="8:8" s="852" customFormat="1" customHeight="1">
      <c r="P239" s="859"/>
      <c r="Q239" s="859"/>
      <c r="R239" s="859"/>
      <c r="W239" s="881">
        <f t="shared" si="55"/>
        <v>0.8111111111111637</v>
      </c>
      <c r="X239" s="882">
        <f t="shared" si="60"/>
        <v>231.97777777779282</v>
      </c>
      <c r="AC239" s="859"/>
      <c r="AD239" s="859"/>
      <c r="AE239" s="869"/>
      <c r="AF239" s="869"/>
      <c r="AG239" s="869"/>
      <c r="AH239" s="869"/>
      <c r="AI239" s="869"/>
      <c r="AJ239" s="869"/>
      <c r="AK239" s="869"/>
      <c r="AL239" s="869"/>
      <c r="AM239" s="869"/>
      <c r="AN239" s="869"/>
      <c r="AO239" s="869"/>
      <c r="AP239" s="869"/>
      <c r="AQ239" s="869"/>
      <c r="AR239" s="869"/>
      <c r="AS239" s="869"/>
      <c r="AT239" s="869"/>
      <c r="AU239" s="869"/>
      <c r="AV239" s="869"/>
      <c r="AW239" s="869"/>
      <c r="AX239" s="869"/>
    </row>
    <row r="240" spans="8:8" s="852" customFormat="1" customHeight="1">
      <c r="P240" s="859"/>
      <c r="Q240" s="859"/>
      <c r="R240" s="859"/>
      <c r="W240" s="881">
        <f t="shared" si="55"/>
        <v>0.8138888888889417</v>
      </c>
      <c r="X240" s="882">
        <f t="shared" si="60"/>
        <v>232.77222222223733</v>
      </c>
      <c r="AC240" s="859"/>
      <c r="AD240" s="859"/>
      <c r="AE240" s="869"/>
      <c r="AF240" s="869"/>
      <c r="AG240" s="869"/>
      <c r="AH240" s="869"/>
      <c r="AI240" s="869"/>
      <c r="AJ240" s="869"/>
      <c r="AK240" s="869"/>
      <c r="AL240" s="869"/>
      <c r="AM240" s="869"/>
      <c r="AN240" s="869"/>
      <c r="AO240" s="869"/>
      <c r="AP240" s="869"/>
      <c r="AQ240" s="869"/>
      <c r="AR240" s="869"/>
      <c r="AS240" s="869"/>
      <c r="AT240" s="869"/>
      <c r="AU240" s="869"/>
      <c r="AV240" s="869"/>
      <c r="AW240" s="869"/>
      <c r="AX240" s="869"/>
    </row>
    <row r="241" spans="8:8" s="852" customFormat="1" customHeight="1">
      <c r="P241" s="859"/>
      <c r="Q241" s="859"/>
      <c r="R241" s="859"/>
      <c r="W241" s="881">
        <f t="shared" si="55"/>
        <v>0.8166666666667197</v>
      </c>
      <c r="X241" s="882">
        <f t="shared" si="60"/>
        <v>233.56666666668184</v>
      </c>
      <c r="AC241" s="859"/>
      <c r="AD241" s="859"/>
      <c r="AE241" s="869"/>
      <c r="AF241" s="869"/>
      <c r="AG241" s="869"/>
      <c r="AH241" s="869"/>
      <c r="AI241" s="869"/>
      <c r="AJ241" s="869"/>
      <c r="AK241" s="869"/>
      <c r="AL241" s="869"/>
      <c r="AM241" s="869"/>
      <c r="AN241" s="869"/>
      <c r="AO241" s="869"/>
      <c r="AP241" s="869"/>
      <c r="AQ241" s="869"/>
      <c r="AR241" s="869"/>
      <c r="AS241" s="869"/>
      <c r="AT241" s="869"/>
      <c r="AU241" s="869"/>
      <c r="AV241" s="869"/>
      <c r="AW241" s="869"/>
      <c r="AX241" s="869"/>
    </row>
    <row r="242" spans="8:8" s="852" customFormat="1" customHeight="1">
      <c r="P242" s="859"/>
      <c r="Q242" s="859"/>
      <c r="R242" s="859"/>
      <c r="W242" s="881">
        <f t="shared" si="55"/>
        <v>0.8194444444444978</v>
      </c>
      <c r="X242" s="882">
        <f t="shared" si="60"/>
        <v>234.36111111112638</v>
      </c>
      <c r="AC242" s="859"/>
      <c r="AD242" s="859"/>
      <c r="AE242" s="869"/>
      <c r="AF242" s="869"/>
      <c r="AG242" s="869"/>
      <c r="AH242" s="869"/>
      <c r="AI242" s="869"/>
      <c r="AJ242" s="869"/>
      <c r="AK242" s="869"/>
      <c r="AL242" s="869"/>
      <c r="AM242" s="869"/>
      <c r="AN242" s="869"/>
      <c r="AO242" s="869"/>
      <c r="AP242" s="869"/>
      <c r="AQ242" s="869"/>
      <c r="AR242" s="869"/>
      <c r="AS242" s="869"/>
      <c r="AT242" s="869"/>
      <c r="AU242" s="869"/>
      <c r="AV242" s="869"/>
      <c r="AW242" s="869"/>
      <c r="AX242" s="869"/>
    </row>
    <row r="243" spans="8:8" s="852" customFormat="1" customHeight="1">
      <c r="P243" s="859"/>
      <c r="Q243" s="859"/>
      <c r="R243" s="859"/>
      <c r="W243" s="881">
        <f t="shared" si="55"/>
        <v>0.8222222222222758</v>
      </c>
      <c r="X243" s="882">
        <f t="shared" si="60"/>
        <v>235.15555555557088</v>
      </c>
      <c r="AC243" s="859"/>
      <c r="AD243" s="859"/>
      <c r="AE243" s="869"/>
      <c r="AF243" s="869"/>
      <c r="AG243" s="869"/>
      <c r="AH243" s="869"/>
      <c r="AI243" s="869"/>
      <c r="AJ243" s="869"/>
      <c r="AK243" s="869"/>
      <c r="AL243" s="869"/>
      <c r="AM243" s="869"/>
      <c r="AN243" s="869"/>
      <c r="AO243" s="869"/>
      <c r="AP243" s="869"/>
      <c r="AQ243" s="869"/>
      <c r="AR243" s="869"/>
      <c r="AS243" s="869"/>
      <c r="AT243" s="869"/>
      <c r="AU243" s="869"/>
      <c r="AV243" s="869"/>
      <c r="AW243" s="869"/>
      <c r="AX243" s="869"/>
    </row>
    <row r="244" spans="8:8" s="852" customFormat="1" customHeight="1">
      <c r="P244" s="859"/>
      <c r="Q244" s="859"/>
      <c r="R244" s="859"/>
      <c r="W244" s="867">
        <f t="shared" si="55"/>
        <v>0.8250000000000538</v>
      </c>
      <c r="X244" s="868">
        <f>$D$1*W244</f>
        <v>235.9500000000154</v>
      </c>
      <c r="AC244" s="859"/>
      <c r="AD244" s="859"/>
      <c r="AE244" s="869"/>
      <c r="AF244" s="869"/>
      <c r="AG244" s="869"/>
      <c r="AH244" s="869"/>
      <c r="AI244" s="869"/>
      <c r="AJ244" s="869"/>
      <c r="AK244" s="869"/>
      <c r="AL244" s="869"/>
      <c r="AM244" s="869"/>
      <c r="AN244" s="869"/>
      <c r="AO244" s="869"/>
      <c r="AP244" s="869"/>
      <c r="AQ244" s="869"/>
      <c r="AR244" s="869"/>
      <c r="AS244" s="869"/>
      <c r="AT244" s="869"/>
      <c r="AU244" s="869"/>
      <c r="AV244" s="869"/>
      <c r="AW244" s="869"/>
      <c r="AX244" s="869"/>
    </row>
    <row r="245" spans="8:8" s="852" customFormat="1" customHeight="1">
      <c r="P245" s="859"/>
      <c r="Q245" s="859"/>
      <c r="R245" s="859"/>
      <c r="W245" s="881">
        <f t="shared" si="55"/>
        <v>0.8277777777778318</v>
      </c>
      <c r="X245" s="882">
        <f>$D$1*W245</f>
        <v>236.7444444444599</v>
      </c>
      <c r="AC245" s="859"/>
      <c r="AD245" s="859"/>
      <c r="AE245" s="869"/>
      <c r="AF245" s="869"/>
      <c r="AG245" s="869"/>
      <c r="AH245" s="869"/>
      <c r="AI245" s="869"/>
      <c r="AJ245" s="869"/>
      <c r="AK245" s="869"/>
      <c r="AL245" s="869"/>
      <c r="AM245" s="869"/>
      <c r="AN245" s="869"/>
      <c r="AO245" s="869"/>
      <c r="AP245" s="869"/>
      <c r="AQ245" s="869"/>
      <c r="AR245" s="869"/>
      <c r="AS245" s="869"/>
      <c r="AT245" s="869"/>
      <c r="AU245" s="869"/>
      <c r="AV245" s="869"/>
      <c r="AW245" s="869"/>
      <c r="AX245" s="869"/>
    </row>
    <row r="246" spans="8:8" s="852" ht="13.5" customFormat="1" customHeight="1">
      <c r="P246" s="859"/>
      <c r="Q246" s="859"/>
      <c r="R246" s="859"/>
      <c r="W246" s="881">
        <f t="shared" si="55"/>
        <v>0.8305555555556098</v>
      </c>
      <c r="X246" s="882">
        <f t="shared" si="61" ref="X246:X252">$D$1*W246</f>
        <v>237.5388888889044</v>
      </c>
      <c r="AC246" s="859"/>
      <c r="AD246" s="859"/>
      <c r="AE246" s="869"/>
      <c r="AF246" s="869"/>
      <c r="AG246" s="869"/>
      <c r="AH246" s="869"/>
      <c r="AI246" s="869"/>
      <c r="AJ246" s="869"/>
      <c r="AK246" s="869"/>
      <c r="AL246" s="869"/>
      <c r="AM246" s="869"/>
      <c r="AN246" s="869"/>
      <c r="AO246" s="869"/>
      <c r="AP246" s="869"/>
      <c r="AQ246" s="869"/>
      <c r="AR246" s="869"/>
      <c r="AS246" s="869"/>
      <c r="AT246" s="869"/>
      <c r="AU246" s="869"/>
      <c r="AV246" s="869"/>
      <c r="AW246" s="869"/>
      <c r="AX246" s="869"/>
    </row>
    <row r="247" spans="8:8" s="852" ht="13.5" customFormat="1" customHeight="1">
      <c r="P247" s="859"/>
      <c r="Q247" s="859"/>
      <c r="R247" s="859"/>
      <c r="W247" s="881">
        <f t="shared" si="55"/>
        <v>0.8333333333333878</v>
      </c>
      <c r="X247" s="882">
        <f t="shared" si="61"/>
        <v>238.3333333333489</v>
      </c>
      <c r="AC247" s="859"/>
      <c r="AD247" s="859"/>
      <c r="AE247" s="869"/>
      <c r="AF247" s="869"/>
      <c r="AG247" s="869"/>
      <c r="AH247" s="869"/>
      <c r="AI247" s="869"/>
      <c r="AJ247" s="869"/>
      <c r="AK247" s="869"/>
      <c r="AL247" s="869"/>
      <c r="AM247" s="869"/>
      <c r="AN247" s="869"/>
      <c r="AO247" s="869"/>
      <c r="AP247" s="869"/>
      <c r="AQ247" s="869"/>
      <c r="AR247" s="869"/>
      <c r="AS247" s="869"/>
      <c r="AT247" s="869"/>
      <c r="AU247" s="869"/>
      <c r="AV247" s="869"/>
      <c r="AW247" s="869"/>
      <c r="AX247" s="869"/>
    </row>
    <row r="248" spans="8:8" s="852" ht="13.5" customFormat="1" customHeight="1">
      <c r="P248" s="859"/>
      <c r="Q248" s="859"/>
      <c r="R248" s="859"/>
      <c r="W248" s="881">
        <f t="shared" si="55"/>
        <v>0.8361111111111658</v>
      </c>
      <c r="X248" s="882">
        <f t="shared" si="61"/>
        <v>239.1277777777934</v>
      </c>
      <c r="AC248" s="859"/>
      <c r="AD248" s="859"/>
      <c r="AE248" s="869"/>
      <c r="AF248" s="869"/>
      <c r="AG248" s="869"/>
      <c r="AH248" s="869"/>
      <c r="AI248" s="869"/>
      <c r="AJ248" s="869"/>
      <c r="AK248" s="869"/>
      <c r="AL248" s="869"/>
      <c r="AM248" s="869"/>
      <c r="AN248" s="869"/>
      <c r="AO248" s="869"/>
      <c r="AP248" s="869"/>
      <c r="AQ248" s="869"/>
      <c r="AR248" s="869"/>
      <c r="AS248" s="869"/>
      <c r="AT248" s="869"/>
      <c r="AU248" s="869"/>
      <c r="AV248" s="869"/>
      <c r="AW248" s="869"/>
      <c r="AX248" s="869"/>
    </row>
    <row r="249" spans="8:8" s="852" customFormat="1" customHeight="1">
      <c r="P249" s="859"/>
      <c r="Q249" s="859"/>
      <c r="R249" s="859"/>
      <c r="W249" s="881">
        <f t="shared" si="55"/>
        <v>0.8388888888889438</v>
      </c>
      <c r="X249" s="882">
        <f t="shared" si="61"/>
        <v>239.9222222222379</v>
      </c>
      <c r="AC249" s="859"/>
      <c r="AD249" s="859"/>
      <c r="AE249" s="869"/>
      <c r="AF249" s="869"/>
      <c r="AG249" s="869"/>
      <c r="AH249" s="869"/>
      <c r="AI249" s="869"/>
      <c r="AJ249" s="869"/>
      <c r="AK249" s="869"/>
      <c r="AL249" s="869"/>
      <c r="AM249" s="869"/>
      <c r="AN249" s="869"/>
      <c r="AO249" s="869"/>
      <c r="AP249" s="869"/>
      <c r="AQ249" s="869"/>
      <c r="AR249" s="869"/>
      <c r="AS249" s="869"/>
      <c r="AT249" s="869"/>
      <c r="AU249" s="869"/>
      <c r="AV249" s="869"/>
      <c r="AW249" s="869"/>
      <c r="AX249" s="869"/>
    </row>
    <row r="250" spans="8:8" s="852" customFormat="1" customHeight="1">
      <c r="P250" s="859"/>
      <c r="Q250" s="859"/>
      <c r="R250" s="859"/>
      <c r="W250" s="881">
        <f t="shared" si="55"/>
        <v>0.8416666666667217</v>
      </c>
      <c r="X250" s="882">
        <f t="shared" si="61"/>
        <v>240.7166666666824</v>
      </c>
      <c r="AC250" s="859"/>
      <c r="AD250" s="859"/>
      <c r="AE250" s="869"/>
      <c r="AF250" s="869"/>
      <c r="AG250" s="869"/>
      <c r="AH250" s="869"/>
      <c r="AI250" s="869"/>
      <c r="AJ250" s="869"/>
      <c r="AK250" s="869"/>
      <c r="AL250" s="869"/>
      <c r="AM250" s="869"/>
      <c r="AN250" s="869"/>
      <c r="AO250" s="869"/>
      <c r="AP250" s="869"/>
      <c r="AQ250" s="869"/>
      <c r="AR250" s="869"/>
      <c r="AS250" s="869"/>
      <c r="AT250" s="869"/>
      <c r="AU250" s="869"/>
      <c r="AV250" s="869"/>
      <c r="AW250" s="869"/>
      <c r="AX250" s="869"/>
    </row>
    <row r="251" spans="8:8" s="852" customFormat="1" customHeight="1">
      <c r="P251" s="859"/>
      <c r="Q251" s="859"/>
      <c r="R251" s="859"/>
      <c r="W251" s="881">
        <f t="shared" si="55"/>
        <v>0.8444444444444997</v>
      </c>
      <c r="X251" s="882">
        <f t="shared" si="61"/>
        <v>241.51111111112692</v>
      </c>
      <c r="AC251" s="859"/>
      <c r="AD251" s="859"/>
      <c r="AE251" s="869"/>
      <c r="AF251" s="869"/>
      <c r="AG251" s="869"/>
      <c r="AH251" s="869"/>
      <c r="AI251" s="869"/>
      <c r="AJ251" s="869"/>
      <c r="AK251" s="869"/>
      <c r="AL251" s="869"/>
      <c r="AM251" s="869"/>
      <c r="AN251" s="869"/>
      <c r="AO251" s="869"/>
      <c r="AP251" s="869"/>
      <c r="AQ251" s="869"/>
      <c r="AR251" s="869"/>
      <c r="AS251" s="869"/>
      <c r="AT251" s="869"/>
      <c r="AU251" s="869"/>
      <c r="AV251" s="869"/>
      <c r="AW251" s="869"/>
      <c r="AX251" s="869"/>
    </row>
    <row r="252" spans="8:8" s="852" customFormat="1" customHeight="1">
      <c r="P252" s="859"/>
      <c r="Q252" s="859"/>
      <c r="R252" s="859"/>
      <c r="W252" s="881">
        <f t="shared" si="55"/>
        <v>0.8472222222222777</v>
      </c>
      <c r="X252" s="882">
        <f t="shared" si="61"/>
        <v>242.30555555557143</v>
      </c>
      <c r="AC252" s="859"/>
      <c r="AD252" s="859"/>
      <c r="AE252" s="869"/>
      <c r="AF252" s="869"/>
      <c r="AG252" s="869"/>
      <c r="AH252" s="869"/>
      <c r="AI252" s="869"/>
      <c r="AJ252" s="869"/>
      <c r="AK252" s="869"/>
      <c r="AL252" s="869"/>
      <c r="AM252" s="869"/>
      <c r="AN252" s="869"/>
      <c r="AO252" s="869"/>
      <c r="AP252" s="869"/>
      <c r="AQ252" s="869"/>
      <c r="AR252" s="869"/>
      <c r="AS252" s="869"/>
      <c r="AT252" s="869"/>
      <c r="AU252" s="869"/>
      <c r="AV252" s="869"/>
      <c r="AW252" s="869"/>
      <c r="AX252" s="869"/>
    </row>
    <row r="253" spans="8:8" s="852" customFormat="1" customHeight="1">
      <c r="P253" s="859"/>
      <c r="Q253" s="859"/>
      <c r="R253" s="859"/>
      <c r="W253" s="867">
        <f t="shared" si="55"/>
        <v>0.8500000000000558</v>
      </c>
      <c r="X253" s="868">
        <f>$D$1*W253</f>
        <v>243.10000000001597</v>
      </c>
      <c r="AC253" s="859"/>
      <c r="AD253" s="859"/>
      <c r="AE253" s="869"/>
      <c r="AF253" s="869"/>
      <c r="AG253" s="869"/>
      <c r="AH253" s="869"/>
      <c r="AI253" s="869"/>
      <c r="AJ253" s="869"/>
      <c r="AK253" s="869"/>
      <c r="AL253" s="869"/>
      <c r="AM253" s="869"/>
      <c r="AN253" s="869"/>
      <c r="AO253" s="869"/>
      <c r="AP253" s="869"/>
      <c r="AQ253" s="869"/>
      <c r="AR253" s="869"/>
      <c r="AS253" s="869"/>
      <c r="AT253" s="869"/>
      <c r="AU253" s="869"/>
      <c r="AV253" s="869"/>
      <c r="AW253" s="869"/>
      <c r="AX253" s="869"/>
    </row>
    <row r="254" spans="8:8" s="852" customFormat="1" customHeight="1">
      <c r="P254" s="859"/>
      <c r="Q254" s="859"/>
      <c r="R254" s="859"/>
      <c r="W254" s="881">
        <f t="shared" si="55"/>
        <v>0.8527777777778338</v>
      </c>
      <c r="X254" s="882">
        <f>$D$1*W254</f>
        <v>243.89444444446048</v>
      </c>
      <c r="AC254" s="859"/>
      <c r="AD254" s="859"/>
      <c r="AE254" s="869"/>
      <c r="AF254" s="869"/>
      <c r="AG254" s="869"/>
      <c r="AH254" s="869"/>
      <c r="AI254" s="869"/>
      <c r="AJ254" s="869"/>
      <c r="AK254" s="869"/>
      <c r="AL254" s="869"/>
      <c r="AM254" s="869"/>
      <c r="AN254" s="869"/>
      <c r="AO254" s="869"/>
      <c r="AP254" s="869"/>
      <c r="AQ254" s="869"/>
      <c r="AR254" s="869"/>
      <c r="AS254" s="869"/>
      <c r="AT254" s="869"/>
      <c r="AU254" s="869"/>
      <c r="AV254" s="869"/>
      <c r="AW254" s="869"/>
      <c r="AX254" s="869"/>
    </row>
    <row r="255" spans="8:8" s="852" customFormat="1" customHeight="1">
      <c r="P255" s="859"/>
      <c r="Q255" s="859"/>
      <c r="R255" s="859"/>
      <c r="W255" s="881">
        <f t="shared" si="55"/>
        <v>0.8555555555556118</v>
      </c>
      <c r="X255" s="882">
        <f t="shared" si="62" ref="X255:X261">$D$1*W255</f>
        <v>244.68888888890498</v>
      </c>
      <c r="AC255" s="859"/>
      <c r="AD255" s="859"/>
      <c r="AE255" s="869"/>
      <c r="AF255" s="869"/>
      <c r="AG255" s="869"/>
      <c r="AH255" s="869"/>
      <c r="AI255" s="869"/>
      <c r="AJ255" s="869"/>
      <c r="AK255" s="869"/>
      <c r="AL255" s="869"/>
      <c r="AM255" s="869"/>
      <c r="AN255" s="869"/>
      <c r="AO255" s="869"/>
      <c r="AP255" s="869"/>
      <c r="AQ255" s="869"/>
      <c r="AR255" s="869"/>
      <c r="AS255" s="869"/>
      <c r="AT255" s="869"/>
      <c r="AU255" s="869"/>
      <c r="AV255" s="869"/>
      <c r="AW255" s="869"/>
      <c r="AX255" s="869"/>
    </row>
    <row r="256" spans="8:8" s="852" customFormat="1" customHeight="1">
      <c r="P256" s="859"/>
      <c r="Q256" s="859"/>
      <c r="R256" s="859"/>
      <c r="W256" s="881">
        <f t="shared" si="55"/>
        <v>0.8583333333333898</v>
      </c>
      <c r="X256" s="882">
        <f t="shared" si="62"/>
        <v>245.4833333333495</v>
      </c>
      <c r="AC256" s="859"/>
      <c r="AD256" s="859"/>
      <c r="AE256" s="869"/>
      <c r="AF256" s="869"/>
      <c r="AG256" s="869"/>
      <c r="AH256" s="869"/>
      <c r="AI256" s="869"/>
      <c r="AJ256" s="869"/>
      <c r="AK256" s="869"/>
      <c r="AL256" s="869"/>
      <c r="AM256" s="869"/>
      <c r="AN256" s="869"/>
      <c r="AO256" s="869"/>
      <c r="AP256" s="869"/>
      <c r="AQ256" s="869"/>
      <c r="AR256" s="869"/>
      <c r="AS256" s="869"/>
      <c r="AT256" s="869"/>
      <c r="AU256" s="869"/>
      <c r="AV256" s="869"/>
      <c r="AW256" s="869"/>
      <c r="AX256" s="869"/>
    </row>
    <row r="257" spans="8:8" s="852" ht="13.5" customFormat="1" customHeight="1">
      <c r="P257" s="859"/>
      <c r="Q257" s="859"/>
      <c r="R257" s="859"/>
      <c r="W257" s="881">
        <f t="shared" si="55"/>
        <v>0.8611111111111678</v>
      </c>
      <c r="X257" s="882">
        <f t="shared" si="62"/>
        <v>246.27777777779397</v>
      </c>
      <c r="AC257" s="859"/>
      <c r="AD257" s="859"/>
      <c r="AE257" s="869"/>
      <c r="AF257" s="869"/>
      <c r="AG257" s="869"/>
      <c r="AH257" s="869"/>
      <c r="AI257" s="869"/>
      <c r="AJ257" s="869"/>
      <c r="AK257" s="869"/>
      <c r="AL257" s="869"/>
      <c r="AM257" s="869"/>
      <c r="AN257" s="869"/>
      <c r="AO257" s="869"/>
      <c r="AP257" s="869"/>
      <c r="AQ257" s="869"/>
      <c r="AR257" s="869"/>
      <c r="AS257" s="869"/>
      <c r="AT257" s="869"/>
      <c r="AU257" s="869"/>
      <c r="AV257" s="869"/>
      <c r="AW257" s="869"/>
      <c r="AX257" s="869"/>
    </row>
    <row r="258" spans="8:8" s="852" customFormat="1" customHeight="1">
      <c r="P258" s="859"/>
      <c r="Q258" s="859"/>
      <c r="R258" s="859"/>
      <c r="W258" s="881">
        <f t="shared" si="63" ref="W258:W307">W257+1/360</f>
        <v>0.8638888888889458</v>
      </c>
      <c r="X258" s="882">
        <f t="shared" si="62"/>
        <v>247.07222222223848</v>
      </c>
      <c r="AC258" s="859"/>
      <c r="AD258" s="859"/>
      <c r="AE258" s="869"/>
      <c r="AF258" s="869"/>
      <c r="AG258" s="869"/>
      <c r="AH258" s="869"/>
      <c r="AI258" s="869"/>
      <c r="AJ258" s="869"/>
      <c r="AK258" s="869"/>
      <c r="AL258" s="869"/>
      <c r="AM258" s="869"/>
      <c r="AN258" s="869"/>
      <c r="AO258" s="869"/>
      <c r="AP258" s="869"/>
      <c r="AQ258" s="869"/>
      <c r="AR258" s="869"/>
      <c r="AS258" s="869"/>
      <c r="AT258" s="869"/>
      <c r="AU258" s="869"/>
      <c r="AV258" s="869"/>
      <c r="AW258" s="869"/>
      <c r="AX258" s="869"/>
    </row>
    <row r="259" spans="8:8" s="852" customFormat="1" customHeight="1">
      <c r="P259" s="859"/>
      <c r="Q259" s="859"/>
      <c r="R259" s="859"/>
      <c r="W259" s="881">
        <f t="shared" si="63"/>
        <v>0.8666666666667238</v>
      </c>
      <c r="X259" s="882">
        <f t="shared" si="62"/>
        <v>247.866666666683</v>
      </c>
      <c r="AC259" s="859"/>
      <c r="AD259" s="859"/>
      <c r="AE259" s="869"/>
      <c r="AF259" s="869"/>
      <c r="AG259" s="869"/>
      <c r="AH259" s="869"/>
      <c r="AI259" s="869"/>
      <c r="AJ259" s="869"/>
      <c r="AK259" s="869"/>
      <c r="AL259" s="869"/>
      <c r="AM259" s="869"/>
      <c r="AN259" s="869"/>
      <c r="AO259" s="869"/>
      <c r="AP259" s="869"/>
      <c r="AQ259" s="869"/>
      <c r="AR259" s="869"/>
      <c r="AS259" s="869"/>
      <c r="AT259" s="869"/>
      <c r="AU259" s="869"/>
      <c r="AV259" s="869"/>
      <c r="AW259" s="869"/>
      <c r="AX259" s="869"/>
    </row>
    <row r="260" spans="8:8" s="852" customFormat="1" customHeight="1">
      <c r="P260" s="859"/>
      <c r="Q260" s="859"/>
      <c r="R260" s="859"/>
      <c r="W260" s="881">
        <f t="shared" si="63"/>
        <v>0.8694444444445018</v>
      </c>
      <c r="X260" s="882">
        <f t="shared" si="62"/>
        <v>248.6611111111275</v>
      </c>
      <c r="AC260" s="859"/>
      <c r="AD260" s="859"/>
      <c r="AE260" s="869"/>
      <c r="AF260" s="869"/>
      <c r="AG260" s="869"/>
      <c r="AH260" s="869"/>
      <c r="AI260" s="869"/>
      <c r="AJ260" s="869"/>
      <c r="AK260" s="869"/>
      <c r="AL260" s="869"/>
      <c r="AM260" s="869"/>
      <c r="AN260" s="869"/>
      <c r="AO260" s="869"/>
      <c r="AP260" s="869"/>
      <c r="AQ260" s="869"/>
      <c r="AR260" s="869"/>
      <c r="AS260" s="869"/>
      <c r="AT260" s="869"/>
      <c r="AU260" s="869"/>
      <c r="AV260" s="869"/>
      <c r="AW260" s="869"/>
      <c r="AX260" s="869"/>
    </row>
    <row r="261" spans="8:8" s="852" customFormat="1" customHeight="1">
      <c r="P261" s="859"/>
      <c r="Q261" s="859"/>
      <c r="R261" s="859"/>
      <c r="W261" s="881">
        <f t="shared" si="63"/>
        <v>0.8722222222222797</v>
      </c>
      <c r="X261" s="882">
        <f t="shared" si="62"/>
        <v>249.455555555572</v>
      </c>
      <c r="AC261" s="859"/>
      <c r="AD261" s="859"/>
      <c r="AE261" s="869"/>
      <c r="AF261" s="869"/>
      <c r="AG261" s="869"/>
      <c r="AH261" s="869"/>
      <c r="AI261" s="869"/>
      <c r="AJ261" s="869"/>
      <c r="AK261" s="869"/>
      <c r="AL261" s="869"/>
      <c r="AM261" s="869"/>
      <c r="AN261" s="869"/>
      <c r="AO261" s="869"/>
      <c r="AP261" s="869"/>
      <c r="AQ261" s="869"/>
      <c r="AR261" s="869"/>
      <c r="AS261" s="869"/>
      <c r="AT261" s="869"/>
      <c r="AU261" s="869"/>
      <c r="AV261" s="869"/>
      <c r="AW261" s="869"/>
      <c r="AX261" s="869"/>
    </row>
    <row r="262" spans="8:8" s="852" customFormat="1" customHeight="1">
      <c r="P262" s="859"/>
      <c r="Q262" s="859"/>
      <c r="R262" s="859"/>
      <c r="W262" s="867">
        <f t="shared" si="63"/>
        <v>0.8750000000000577</v>
      </c>
      <c r="X262" s="972">
        <f>$D$1*W262+0.001</f>
        <v>250.251000000017</v>
      </c>
      <c r="AC262" s="859"/>
      <c r="AD262" s="859"/>
      <c r="AE262" s="869"/>
      <c r="AF262" s="869"/>
      <c r="AG262" s="869"/>
      <c r="AH262" s="869"/>
      <c r="AI262" s="869"/>
      <c r="AJ262" s="869"/>
      <c r="AK262" s="869"/>
      <c r="AL262" s="869"/>
      <c r="AM262" s="869"/>
      <c r="AN262" s="869"/>
      <c r="AO262" s="869"/>
      <c r="AP262" s="869"/>
      <c r="AQ262" s="869"/>
      <c r="AR262" s="869"/>
      <c r="AS262" s="869"/>
      <c r="AT262" s="869"/>
      <c r="AU262" s="869"/>
      <c r="AV262" s="869"/>
      <c r="AW262" s="869"/>
      <c r="AX262" s="869"/>
    </row>
    <row r="263" spans="8:8" s="852" customFormat="1" customHeight="1">
      <c r="P263" s="859"/>
      <c r="Q263" s="859"/>
      <c r="R263" s="859"/>
      <c r="W263" s="881">
        <f t="shared" si="63"/>
        <v>0.8777777777778357</v>
      </c>
      <c r="X263" s="882">
        <f>$D$1*W263</f>
        <v>251.04444444446102</v>
      </c>
      <c r="AC263" s="859"/>
      <c r="AD263" s="859"/>
      <c r="AE263" s="869"/>
      <c r="AF263" s="869"/>
      <c r="AG263" s="869"/>
      <c r="AH263" s="869"/>
      <c r="AI263" s="869"/>
      <c r="AJ263" s="869"/>
      <c r="AK263" s="869"/>
      <c r="AL263" s="869"/>
      <c r="AM263" s="869"/>
      <c r="AN263" s="869"/>
      <c r="AO263" s="869"/>
      <c r="AP263" s="869"/>
      <c r="AQ263" s="869"/>
      <c r="AR263" s="869"/>
      <c r="AS263" s="869"/>
      <c r="AT263" s="869"/>
      <c r="AU263" s="869"/>
      <c r="AV263" s="869"/>
      <c r="AW263" s="869"/>
      <c r="AX263" s="869"/>
    </row>
    <row r="264" spans="8:8" s="852" customFormat="1" customHeight="1">
      <c r="P264" s="859"/>
      <c r="Q264" s="859"/>
      <c r="R264" s="859"/>
      <c r="W264" s="881">
        <f t="shared" si="63"/>
        <v>0.8805555555556138</v>
      </c>
      <c r="X264" s="882">
        <f t="shared" si="64" ref="X264:X280">$D$1*W264</f>
        <v>251.83888888890556</v>
      </c>
      <c r="AC264" s="859"/>
      <c r="AD264" s="859"/>
      <c r="AE264" s="869"/>
      <c r="AF264" s="869"/>
      <c r="AG264" s="869"/>
      <c r="AH264" s="869"/>
      <c r="AI264" s="869"/>
      <c r="AJ264" s="869"/>
      <c r="AK264" s="869"/>
      <c r="AL264" s="869"/>
      <c r="AM264" s="869"/>
      <c r="AN264" s="869"/>
      <c r="AO264" s="869"/>
      <c r="AP264" s="869"/>
      <c r="AQ264" s="869"/>
      <c r="AR264" s="869"/>
      <c r="AS264" s="869"/>
      <c r="AT264" s="869"/>
      <c r="AU264" s="869"/>
      <c r="AV264" s="869"/>
      <c r="AW264" s="869"/>
      <c r="AX264" s="869"/>
    </row>
    <row r="265" spans="8:8" s="852" customFormat="1" customHeight="1">
      <c r="P265" s="859"/>
      <c r="Q265" s="859"/>
      <c r="R265" s="859"/>
      <c r="W265" s="881">
        <f t="shared" si="63"/>
        <v>0.8833333333333918</v>
      </c>
      <c r="X265" s="882">
        <f t="shared" si="64"/>
        <v>252.63333333335007</v>
      </c>
      <c r="AC265" s="859"/>
      <c r="AD265" s="859"/>
      <c r="AE265" s="869"/>
      <c r="AF265" s="869"/>
      <c r="AG265" s="869"/>
      <c r="AH265" s="869"/>
      <c r="AI265" s="869"/>
      <c r="AJ265" s="869"/>
      <c r="AK265" s="869"/>
      <c r="AL265" s="869"/>
      <c r="AM265" s="869"/>
      <c r="AN265" s="869"/>
      <c r="AO265" s="869"/>
      <c r="AP265" s="869"/>
      <c r="AQ265" s="869"/>
      <c r="AR265" s="869"/>
      <c r="AS265" s="869"/>
      <c r="AT265" s="869"/>
      <c r="AU265" s="869"/>
      <c r="AV265" s="869"/>
      <c r="AW265" s="869"/>
      <c r="AX265" s="869"/>
    </row>
    <row r="266" spans="8:8" s="852" customFormat="1" customHeight="1">
      <c r="P266" s="859"/>
      <c r="Q266" s="859"/>
      <c r="R266" s="859"/>
      <c r="W266" s="881">
        <f t="shared" si="63"/>
        <v>0.8861111111111698</v>
      </c>
      <c r="X266" s="882">
        <f t="shared" si="64"/>
        <v>253.42777777779457</v>
      </c>
      <c r="AC266" s="859"/>
      <c r="AD266" s="859"/>
      <c r="AE266" s="869"/>
      <c r="AF266" s="869"/>
      <c r="AG266" s="869"/>
      <c r="AH266" s="869"/>
      <c r="AI266" s="869"/>
      <c r="AJ266" s="869"/>
      <c r="AK266" s="869"/>
      <c r="AL266" s="869"/>
      <c r="AM266" s="869"/>
      <c r="AN266" s="869"/>
      <c r="AO266" s="869"/>
      <c r="AP266" s="869"/>
      <c r="AQ266" s="869"/>
      <c r="AR266" s="869"/>
      <c r="AS266" s="869"/>
      <c r="AT266" s="869"/>
      <c r="AU266" s="869"/>
      <c r="AV266" s="869"/>
      <c r="AW266" s="869"/>
      <c r="AX266" s="869"/>
    </row>
    <row r="267" spans="8:8" s="852" customFormat="1" customHeight="1">
      <c r="P267" s="859"/>
      <c r="Q267" s="859"/>
      <c r="R267" s="859"/>
      <c r="W267" s="881">
        <f t="shared" si="63"/>
        <v>0.8888888888889478</v>
      </c>
      <c r="X267" s="882">
        <f t="shared" si="64"/>
        <v>254.22222222223908</v>
      </c>
      <c r="AC267" s="859"/>
      <c r="AD267" s="859"/>
      <c r="AE267" s="869"/>
      <c r="AF267" s="869"/>
      <c r="AG267" s="869"/>
      <c r="AH267" s="869"/>
      <c r="AI267" s="869"/>
      <c r="AJ267" s="869"/>
      <c r="AK267" s="869"/>
      <c r="AL267" s="869"/>
      <c r="AM267" s="869"/>
      <c r="AN267" s="869"/>
      <c r="AO267" s="869"/>
      <c r="AP267" s="869"/>
      <c r="AQ267" s="869"/>
      <c r="AR267" s="869"/>
      <c r="AS267" s="869"/>
      <c r="AT267" s="869"/>
      <c r="AU267" s="869"/>
      <c r="AV267" s="869"/>
      <c r="AW267" s="869"/>
      <c r="AX267" s="869"/>
    </row>
    <row r="268" spans="8:8" s="852" customFormat="1" customHeight="1">
      <c r="P268" s="859"/>
      <c r="Q268" s="859"/>
      <c r="R268" s="859"/>
      <c r="W268" s="881">
        <f t="shared" si="63"/>
        <v>0.8916666666667258</v>
      </c>
      <c r="X268" s="882">
        <f t="shared" si="64"/>
        <v>255.01666666668356</v>
      </c>
      <c r="AC268" s="859"/>
      <c r="AD268" s="859"/>
      <c r="AE268" s="869"/>
      <c r="AF268" s="869"/>
      <c r="AG268" s="869"/>
      <c r="AH268" s="869"/>
      <c r="AI268" s="869"/>
      <c r="AJ268" s="869"/>
      <c r="AK268" s="869"/>
      <c r="AL268" s="869"/>
      <c r="AM268" s="869"/>
      <c r="AN268" s="869"/>
      <c r="AO268" s="869"/>
      <c r="AP268" s="869"/>
      <c r="AQ268" s="869"/>
      <c r="AR268" s="869"/>
      <c r="AS268" s="869"/>
      <c r="AT268" s="869"/>
      <c r="AU268" s="869"/>
      <c r="AV268" s="869"/>
      <c r="AW268" s="869"/>
      <c r="AX268" s="869"/>
    </row>
    <row r="269" spans="8:8" s="852" customFormat="1" customHeight="1">
      <c r="P269" s="859"/>
      <c r="Q269" s="859"/>
      <c r="R269" s="859"/>
      <c r="W269" s="881">
        <f t="shared" si="63"/>
        <v>0.8944444444445038</v>
      </c>
      <c r="X269" s="882">
        <f t="shared" si="64"/>
        <v>255.81111111112807</v>
      </c>
      <c r="AC269" s="859"/>
      <c r="AD269" s="859"/>
      <c r="AE269" s="869"/>
      <c r="AF269" s="869"/>
      <c r="AG269" s="869"/>
      <c r="AH269" s="869"/>
      <c r="AI269" s="869"/>
      <c r="AJ269" s="869"/>
      <c r="AK269" s="869"/>
      <c r="AL269" s="869"/>
      <c r="AM269" s="869"/>
      <c r="AN269" s="869"/>
      <c r="AO269" s="869"/>
      <c r="AP269" s="869"/>
      <c r="AQ269" s="869"/>
      <c r="AR269" s="869"/>
      <c r="AS269" s="869"/>
      <c r="AT269" s="869"/>
      <c r="AU269" s="869"/>
      <c r="AV269" s="869"/>
      <c r="AW269" s="869"/>
      <c r="AX269" s="869"/>
    </row>
    <row r="270" spans="8:8" s="852" customFormat="1" customHeight="1">
      <c r="P270" s="859"/>
      <c r="Q270" s="859"/>
      <c r="R270" s="859"/>
      <c r="W270" s="881">
        <f t="shared" si="63"/>
        <v>0.8972222222222818</v>
      </c>
      <c r="X270" s="882">
        <f t="shared" si="64"/>
        <v>256.6055555555726</v>
      </c>
      <c r="AC270" s="859"/>
      <c r="AD270" s="859"/>
      <c r="AE270" s="869"/>
      <c r="AF270" s="869"/>
      <c r="AG270" s="869"/>
      <c r="AH270" s="869"/>
      <c r="AI270" s="869"/>
      <c r="AJ270" s="869"/>
      <c r="AK270" s="869"/>
      <c r="AL270" s="869"/>
      <c r="AM270" s="869"/>
      <c r="AN270" s="869"/>
      <c r="AO270" s="869"/>
      <c r="AP270" s="869"/>
      <c r="AQ270" s="869"/>
      <c r="AR270" s="869"/>
      <c r="AS270" s="869"/>
      <c r="AT270" s="869"/>
      <c r="AU270" s="869"/>
      <c r="AV270" s="869"/>
      <c r="AW270" s="869"/>
      <c r="AX270" s="869"/>
    </row>
    <row r="271" spans="8:8" s="852" customFormat="1" customHeight="1">
      <c r="P271" s="859"/>
      <c r="Q271" s="859"/>
      <c r="R271" s="859"/>
      <c r="W271" s="867">
        <f t="shared" si="63"/>
        <v>0.9000000000000598</v>
      </c>
      <c r="X271" s="868">
        <f t="shared" si="64"/>
        <v>257.4000000000171</v>
      </c>
      <c r="AC271" s="859"/>
      <c r="AD271" s="859"/>
      <c r="AE271" s="869"/>
      <c r="AF271" s="869"/>
      <c r="AG271" s="869"/>
      <c r="AH271" s="869"/>
      <c r="AI271" s="869"/>
      <c r="AJ271" s="869"/>
      <c r="AK271" s="869"/>
      <c r="AL271" s="869"/>
      <c r="AM271" s="869"/>
      <c r="AN271" s="869"/>
      <c r="AO271" s="869"/>
      <c r="AP271" s="869"/>
      <c r="AQ271" s="869"/>
      <c r="AR271" s="869"/>
      <c r="AS271" s="869"/>
      <c r="AT271" s="869"/>
      <c r="AU271" s="869"/>
      <c r="AV271" s="869"/>
      <c r="AW271" s="869"/>
      <c r="AX271" s="869"/>
    </row>
    <row r="272" spans="8:8" s="852" customFormat="1" customHeight="1">
      <c r="P272" s="859"/>
      <c r="Q272" s="859"/>
      <c r="R272" s="859"/>
      <c r="W272" s="881">
        <f t="shared" si="63"/>
        <v>0.9027777777778377</v>
      </c>
      <c r="X272" s="882">
        <f t="shared" si="64"/>
        <v>258.19444444446157</v>
      </c>
      <c r="AB272" s="859"/>
      <c r="AC272" s="859"/>
      <c r="AD272" s="859"/>
      <c r="AE272" s="869"/>
      <c r="AF272" s="869"/>
      <c r="AG272" s="869"/>
      <c r="AH272" s="869"/>
      <c r="AI272" s="869"/>
      <c r="AJ272" s="869"/>
      <c r="AK272" s="869"/>
      <c r="AL272" s="869"/>
      <c r="AM272" s="869"/>
      <c r="AN272" s="869"/>
      <c r="AO272" s="869"/>
      <c r="AP272" s="869"/>
      <c r="AQ272" s="869"/>
      <c r="AR272" s="869"/>
      <c r="AS272" s="869"/>
      <c r="AT272" s="869"/>
      <c r="AU272" s="869"/>
      <c r="AV272" s="869"/>
      <c r="AW272" s="869"/>
      <c r="AX272" s="869"/>
    </row>
    <row r="273" spans="8:8" s="852" customFormat="1" customHeight="1">
      <c r="P273" s="859"/>
      <c r="Q273" s="859"/>
      <c r="R273" s="859"/>
      <c r="W273" s="881">
        <f t="shared" si="63"/>
        <v>0.9055555555556157</v>
      </c>
      <c r="X273" s="882">
        <f t="shared" si="64"/>
        <v>258.9888888889061</v>
      </c>
      <c r="AB273" s="859"/>
      <c r="AC273" s="859"/>
      <c r="AD273" s="859"/>
      <c r="AE273" s="869"/>
      <c r="AF273" s="869"/>
      <c r="AG273" s="869"/>
      <c r="AH273" s="869"/>
      <c r="AI273" s="869"/>
      <c r="AJ273" s="869"/>
      <c r="AK273" s="869"/>
      <c r="AL273" s="869"/>
      <c r="AM273" s="869"/>
      <c r="AN273" s="869"/>
      <c r="AO273" s="869"/>
      <c r="AP273" s="869"/>
      <c r="AQ273" s="869"/>
      <c r="AR273" s="869"/>
      <c r="AS273" s="869"/>
      <c r="AT273" s="869"/>
      <c r="AU273" s="869"/>
      <c r="AV273" s="869"/>
      <c r="AW273" s="869"/>
      <c r="AX273" s="869"/>
    </row>
    <row r="274" spans="8:8" s="852" customFormat="1" customHeight="1">
      <c r="P274" s="859"/>
      <c r="Q274" s="859"/>
      <c r="R274" s="859"/>
      <c r="W274" s="881">
        <f t="shared" si="63"/>
        <v>0.9083333333333937</v>
      </c>
      <c r="X274" s="882">
        <f t="shared" si="64"/>
        <v>259.7833333333506</v>
      </c>
      <c r="AB274" s="859"/>
      <c r="AC274" s="859"/>
      <c r="AD274" s="859"/>
      <c r="AE274" s="869"/>
      <c r="AF274" s="869"/>
      <c r="AG274" s="869"/>
      <c r="AH274" s="869"/>
      <c r="AI274" s="869"/>
      <c r="AJ274" s="869"/>
      <c r="AK274" s="869"/>
      <c r="AL274" s="869"/>
      <c r="AM274" s="869"/>
      <c r="AN274" s="869"/>
      <c r="AO274" s="869"/>
      <c r="AP274" s="869"/>
      <c r="AQ274" s="869"/>
      <c r="AR274" s="869"/>
      <c r="AS274" s="869"/>
      <c r="AT274" s="869"/>
      <c r="AU274" s="869"/>
      <c r="AV274" s="869"/>
      <c r="AW274" s="869"/>
      <c r="AX274" s="869"/>
    </row>
    <row r="275" spans="8:8" s="852" customFormat="1" customHeight="1">
      <c r="P275" s="859"/>
      <c r="Q275" s="859"/>
      <c r="R275" s="859"/>
      <c r="W275" s="881">
        <f t="shared" si="63"/>
        <v>0.9111111111111718</v>
      </c>
      <c r="X275" s="882">
        <f t="shared" si="64"/>
        <v>260.5777777777951</v>
      </c>
      <c r="AB275" s="859"/>
      <c r="AC275" s="859"/>
      <c r="AD275" s="859"/>
      <c r="AE275" s="869"/>
      <c r="AF275" s="869"/>
      <c r="AG275" s="869"/>
      <c r="AH275" s="869"/>
      <c r="AI275" s="869"/>
      <c r="AJ275" s="869"/>
      <c r="AK275" s="869"/>
      <c r="AL275" s="869"/>
      <c r="AM275" s="869"/>
      <c r="AN275" s="869"/>
      <c r="AO275" s="869"/>
      <c r="AP275" s="869"/>
      <c r="AQ275" s="869"/>
      <c r="AR275" s="869"/>
      <c r="AS275" s="869"/>
      <c r="AT275" s="869"/>
      <c r="AU275" s="869"/>
      <c r="AV275" s="869"/>
      <c r="AW275" s="869"/>
      <c r="AX275" s="869"/>
    </row>
    <row r="276" spans="8:8" s="852" customFormat="1" customHeight="1">
      <c r="P276" s="859"/>
      <c r="Q276" s="859"/>
      <c r="R276" s="859"/>
      <c r="W276" s="881">
        <f t="shared" si="63"/>
        <v>0.9138888888889498</v>
      </c>
      <c r="X276" s="882">
        <f t="shared" si="64"/>
        <v>261.37222222223966</v>
      </c>
      <c r="AB276" s="859"/>
      <c r="AC276" s="859"/>
      <c r="AD276" s="859"/>
      <c r="AE276" s="869"/>
      <c r="AF276" s="869"/>
      <c r="AG276" s="869"/>
      <c r="AH276" s="869"/>
      <c r="AI276" s="869"/>
      <c r="AJ276" s="869"/>
      <c r="AK276" s="869"/>
      <c r="AL276" s="869"/>
      <c r="AM276" s="869"/>
      <c r="AN276" s="869"/>
      <c r="AO276" s="869"/>
      <c r="AP276" s="869"/>
      <c r="AQ276" s="869"/>
      <c r="AR276" s="869"/>
      <c r="AS276" s="869"/>
      <c r="AT276" s="869"/>
      <c r="AU276" s="869"/>
      <c r="AV276" s="869"/>
      <c r="AW276" s="869"/>
      <c r="AX276" s="869"/>
    </row>
    <row r="277" spans="8:8" s="852" customFormat="1" customHeight="1">
      <c r="P277" s="859"/>
      <c r="Q277" s="859"/>
      <c r="R277" s="859"/>
      <c r="W277" s="881">
        <f t="shared" si="63"/>
        <v>0.9166666666667278</v>
      </c>
      <c r="X277" s="882">
        <f t="shared" si="64"/>
        <v>262.16666666668414</v>
      </c>
      <c r="AB277" s="859"/>
      <c r="AC277" s="859"/>
      <c r="AD277" s="859"/>
      <c r="AE277" s="869"/>
      <c r="AF277" s="869"/>
      <c r="AG277" s="869"/>
      <c r="AH277" s="869"/>
      <c r="AI277" s="869"/>
      <c r="AJ277" s="869"/>
      <c r="AK277" s="869"/>
      <c r="AL277" s="869"/>
      <c r="AM277" s="869"/>
      <c r="AN277" s="869"/>
      <c r="AO277" s="869"/>
      <c r="AP277" s="869"/>
      <c r="AQ277" s="869"/>
      <c r="AR277" s="869"/>
      <c r="AS277" s="869"/>
      <c r="AT277" s="869"/>
      <c r="AU277" s="869"/>
      <c r="AV277" s="869"/>
      <c r="AW277" s="869"/>
      <c r="AX277" s="869"/>
    </row>
    <row r="278" spans="8:8" s="852" customFormat="1" customHeight="1">
      <c r="P278" s="859"/>
      <c r="Q278" s="859"/>
      <c r="R278" s="859"/>
      <c r="W278" s="881">
        <f t="shared" si="63"/>
        <v>0.9194444444445058</v>
      </c>
      <c r="X278" s="882">
        <f t="shared" si="64"/>
        <v>262.9611111111287</v>
      </c>
      <c r="AB278" s="859"/>
      <c r="AC278" s="859"/>
      <c r="AD278" s="859"/>
      <c r="AE278" s="869"/>
      <c r="AF278" s="869"/>
      <c r="AG278" s="869"/>
      <c r="AH278" s="869"/>
      <c r="AI278" s="869"/>
      <c r="AJ278" s="869"/>
      <c r="AK278" s="869"/>
      <c r="AL278" s="869"/>
      <c r="AM278" s="869"/>
      <c r="AN278" s="869"/>
      <c r="AO278" s="869"/>
      <c r="AP278" s="869"/>
      <c r="AQ278" s="869"/>
      <c r="AR278" s="869"/>
      <c r="AS278" s="869"/>
      <c r="AT278" s="869"/>
      <c r="AU278" s="869"/>
      <c r="AV278" s="869"/>
      <c r="AW278" s="869"/>
      <c r="AX278" s="869"/>
    </row>
    <row r="279" spans="8:8" s="852" customFormat="1" customHeight="1">
      <c r="P279" s="859"/>
      <c r="Q279" s="859"/>
      <c r="R279" s="859"/>
      <c r="W279" s="881">
        <f t="shared" si="63"/>
        <v>0.9222222222222838</v>
      </c>
      <c r="X279" s="882">
        <f t="shared" si="64"/>
        <v>263.75555555557315</v>
      </c>
      <c r="AB279" s="859"/>
      <c r="AC279" s="859"/>
      <c r="AD279" s="859"/>
      <c r="AE279" s="869"/>
      <c r="AF279" s="869"/>
      <c r="AG279" s="869"/>
      <c r="AH279" s="869"/>
      <c r="AI279" s="869"/>
      <c r="AJ279" s="869"/>
      <c r="AK279" s="869"/>
      <c r="AL279" s="869"/>
      <c r="AM279" s="869"/>
      <c r="AN279" s="869"/>
      <c r="AO279" s="869"/>
      <c r="AP279" s="869"/>
      <c r="AQ279" s="869"/>
      <c r="AR279" s="869"/>
      <c r="AS279" s="869"/>
      <c r="AT279" s="869"/>
      <c r="AU279" s="869"/>
      <c r="AV279" s="869"/>
      <c r="AW279" s="869"/>
      <c r="AX279" s="869"/>
    </row>
    <row r="280" spans="8:8" s="852" customFormat="1" customHeight="1">
      <c r="P280" s="859"/>
      <c r="Q280" s="859"/>
      <c r="R280" s="859"/>
      <c r="W280" s="867">
        <f t="shared" si="63"/>
        <v>0.9250000000000618</v>
      </c>
      <c r="X280" s="868">
        <f t="shared" si="64"/>
        <v>264.5500000000177</v>
      </c>
      <c r="AB280" s="859"/>
      <c r="AC280" s="859"/>
      <c r="AD280" s="859"/>
      <c r="AE280" s="869"/>
      <c r="AF280" s="869"/>
      <c r="AG280" s="869"/>
      <c r="AH280" s="869"/>
      <c r="AI280" s="869"/>
      <c r="AJ280" s="869"/>
      <c r="AK280" s="869"/>
      <c r="AL280" s="869"/>
      <c r="AM280" s="869"/>
      <c r="AN280" s="869"/>
      <c r="AO280" s="869"/>
      <c r="AP280" s="869"/>
      <c r="AQ280" s="869"/>
      <c r="AR280" s="869"/>
      <c r="AS280" s="869"/>
      <c r="AT280" s="869"/>
      <c r="AU280" s="869"/>
      <c r="AV280" s="869"/>
      <c r="AW280" s="869"/>
      <c r="AX280" s="869"/>
    </row>
    <row r="281" spans="8:8" s="852" customFormat="1" customHeight="1">
      <c r="P281" s="859"/>
      <c r="Q281" s="859"/>
      <c r="R281" s="859"/>
      <c r="W281" s="881">
        <f t="shared" si="63"/>
        <v>0.9277777777778398</v>
      </c>
      <c r="X281" s="882">
        <f t="shared" si="65" ref="X281:X307">$D$1*W281</f>
        <v>265.34444444446217</v>
      </c>
      <c r="AB281" s="859"/>
      <c r="AC281" s="859"/>
      <c r="AD281" s="859"/>
      <c r="AE281" s="869"/>
      <c r="AF281" s="869"/>
      <c r="AG281" s="869"/>
      <c r="AH281" s="869"/>
      <c r="AI281" s="869"/>
      <c r="AJ281" s="869"/>
      <c r="AK281" s="869"/>
      <c r="AL281" s="869"/>
      <c r="AM281" s="869"/>
      <c r="AN281" s="869"/>
      <c r="AO281" s="869"/>
      <c r="AP281" s="869"/>
      <c r="AQ281" s="869"/>
      <c r="AR281" s="869"/>
      <c r="AS281" s="869"/>
      <c r="AT281" s="869"/>
      <c r="AU281" s="869"/>
      <c r="AV281" s="869"/>
      <c r="AW281" s="869"/>
      <c r="AX281" s="869"/>
    </row>
    <row r="282" spans="8:8" s="852" customFormat="1" customHeight="1">
      <c r="P282" s="859"/>
      <c r="Q282" s="859"/>
      <c r="R282" s="859"/>
      <c r="W282" s="881">
        <f t="shared" si="63"/>
        <v>0.9305555555556178</v>
      </c>
      <c r="X282" s="882">
        <f t="shared" si="65"/>
        <v>266.13888888890665</v>
      </c>
      <c r="AB282" s="859"/>
      <c r="AC282" s="859"/>
      <c r="AD282" s="859"/>
      <c r="AE282" s="869"/>
      <c r="AF282" s="869"/>
      <c r="AG282" s="869"/>
      <c r="AH282" s="869"/>
      <c r="AI282" s="869"/>
      <c r="AJ282" s="869"/>
      <c r="AK282" s="869"/>
      <c r="AL282" s="869"/>
      <c r="AM282" s="869"/>
      <c r="AN282" s="869"/>
      <c r="AO282" s="869"/>
      <c r="AP282" s="869"/>
      <c r="AQ282" s="869"/>
      <c r="AR282" s="869"/>
      <c r="AS282" s="869"/>
      <c r="AT282" s="869"/>
      <c r="AU282" s="869"/>
      <c r="AV282" s="869"/>
      <c r="AW282" s="869"/>
      <c r="AX282" s="869"/>
    </row>
    <row r="283" spans="8:8" s="852" customFormat="1" customHeight="1">
      <c r="P283" s="859"/>
      <c r="Q283" s="859"/>
      <c r="R283" s="859"/>
      <c r="W283" s="881">
        <f t="shared" si="63"/>
        <v>0.9333333333333957</v>
      </c>
      <c r="X283" s="882">
        <f t="shared" si="65"/>
        <v>266.9333333333512</v>
      </c>
      <c r="AB283" s="859"/>
      <c r="AC283" s="859"/>
      <c r="AD283" s="859"/>
      <c r="AE283" s="869"/>
      <c r="AF283" s="869"/>
      <c r="AG283" s="869"/>
      <c r="AH283" s="869"/>
      <c r="AI283" s="869"/>
      <c r="AJ283" s="869"/>
      <c r="AK283" s="869"/>
      <c r="AL283" s="869"/>
      <c r="AM283" s="869"/>
      <c r="AN283" s="869"/>
      <c r="AO283" s="869"/>
      <c r="AP283" s="869"/>
      <c r="AQ283" s="869"/>
      <c r="AR283" s="869"/>
      <c r="AS283" s="869"/>
      <c r="AT283" s="869"/>
      <c r="AU283" s="869"/>
      <c r="AV283" s="869"/>
      <c r="AW283" s="869"/>
      <c r="AX283" s="869"/>
    </row>
    <row r="284" spans="8:8" s="852" customFormat="1" customHeight="1">
      <c r="P284" s="859"/>
      <c r="Q284" s="859"/>
      <c r="R284" s="859"/>
      <c r="T284" s="859"/>
      <c r="W284" s="881">
        <f t="shared" si="63"/>
        <v>0.9361111111111737</v>
      </c>
      <c r="X284" s="882">
        <f t="shared" si="65"/>
        <v>267.72777777779567</v>
      </c>
      <c r="AB284" s="859"/>
      <c r="AC284" s="859"/>
      <c r="AD284" s="859"/>
      <c r="AE284" s="869"/>
      <c r="AF284" s="869"/>
      <c r="AG284" s="869"/>
      <c r="AH284" s="869"/>
      <c r="AI284" s="869"/>
      <c r="AJ284" s="869"/>
      <c r="AK284" s="869"/>
      <c r="AL284" s="869"/>
      <c r="AM284" s="869"/>
      <c r="AN284" s="869"/>
      <c r="AO284" s="869"/>
      <c r="AP284" s="869"/>
      <c r="AQ284" s="869"/>
      <c r="AR284" s="869"/>
      <c r="AS284" s="869"/>
      <c r="AT284" s="869"/>
      <c r="AU284" s="869"/>
      <c r="AV284" s="869"/>
      <c r="AW284" s="869"/>
      <c r="AX284" s="869"/>
    </row>
    <row r="285" spans="8:8" s="852" customFormat="1" customHeight="1">
      <c r="P285" s="859"/>
      <c r="Q285" s="859"/>
      <c r="R285" s="859"/>
      <c r="T285" s="859"/>
      <c r="W285" s="881">
        <f t="shared" si="63"/>
        <v>0.9388888888889517</v>
      </c>
      <c r="X285" s="882">
        <f t="shared" si="65"/>
        <v>268.5222222222402</v>
      </c>
      <c r="AB285" s="859"/>
      <c r="AC285" s="859"/>
      <c r="AD285" s="859"/>
      <c r="AE285" s="869"/>
      <c r="AF285" s="869"/>
      <c r="AG285" s="869"/>
      <c r="AH285" s="869"/>
      <c r="AI285" s="869"/>
      <c r="AJ285" s="869"/>
      <c r="AK285" s="869"/>
      <c r="AL285" s="869"/>
      <c r="AM285" s="869"/>
      <c r="AN285" s="869"/>
      <c r="AO285" s="869"/>
      <c r="AP285" s="869"/>
      <c r="AQ285" s="869"/>
      <c r="AR285" s="869"/>
      <c r="AS285" s="869"/>
      <c r="AT285" s="869"/>
      <c r="AU285" s="869"/>
      <c r="AV285" s="869"/>
      <c r="AW285" s="869"/>
      <c r="AX285" s="869"/>
    </row>
    <row r="286" spans="8:8" s="852" customFormat="1" customHeight="1">
      <c r="P286" s="859"/>
      <c r="Q286" s="859"/>
      <c r="R286" s="859"/>
      <c r="T286" s="859"/>
      <c r="W286" s="881">
        <f t="shared" si="63"/>
        <v>0.9416666666667297</v>
      </c>
      <c r="X286" s="882">
        <f t="shared" si="65"/>
        <v>269.3166666666847</v>
      </c>
      <c r="AB286" s="859"/>
      <c r="AC286" s="859"/>
      <c r="AD286" s="859"/>
      <c r="AE286" s="869"/>
      <c r="AF286" s="869"/>
      <c r="AG286" s="869"/>
      <c r="AH286" s="869"/>
      <c r="AI286" s="869"/>
      <c r="AJ286" s="869"/>
      <c r="AK286" s="869"/>
      <c r="AL286" s="869"/>
      <c r="AM286" s="869"/>
      <c r="AN286" s="869"/>
      <c r="AO286" s="869"/>
      <c r="AP286" s="869"/>
      <c r="AQ286" s="869"/>
      <c r="AR286" s="869"/>
      <c r="AS286" s="869"/>
      <c r="AT286" s="869"/>
      <c r="AU286" s="869"/>
      <c r="AV286" s="869"/>
      <c r="AW286" s="869"/>
      <c r="AX286" s="869"/>
    </row>
    <row r="287" spans="8:8" s="852" customFormat="1" customHeight="1">
      <c r="P287" s="859"/>
      <c r="Q287" s="859"/>
      <c r="R287" s="859"/>
      <c r="T287" s="859"/>
      <c r="W287" s="881">
        <f t="shared" si="63"/>
        <v>0.9444444444445078</v>
      </c>
      <c r="X287" s="882">
        <f t="shared" si="65"/>
        <v>270.1111111111292</v>
      </c>
      <c r="AB287" s="859"/>
      <c r="AC287" s="859"/>
      <c r="AD287" s="859"/>
      <c r="AE287" s="869"/>
      <c r="AF287" s="869"/>
      <c r="AG287" s="869"/>
      <c r="AH287" s="869"/>
      <c r="AI287" s="869"/>
      <c r="AJ287" s="869"/>
      <c r="AK287" s="869"/>
      <c r="AL287" s="869"/>
      <c r="AM287" s="869"/>
      <c r="AN287" s="869"/>
      <c r="AO287" s="869"/>
      <c r="AP287" s="869"/>
      <c r="AQ287" s="869"/>
      <c r="AR287" s="869"/>
      <c r="AS287" s="869"/>
      <c r="AT287" s="869"/>
      <c r="AU287" s="869"/>
      <c r="AV287" s="869"/>
      <c r="AW287" s="869"/>
      <c r="AX287" s="869"/>
    </row>
    <row r="288" spans="8:8" s="852" customFormat="1" customHeight="1">
      <c r="P288" s="859"/>
      <c r="Q288" s="859"/>
      <c r="R288" s="859"/>
      <c r="T288" s="859"/>
      <c r="W288" s="881">
        <f t="shared" si="63"/>
        <v>0.9472222222222858</v>
      </c>
      <c r="X288" s="882">
        <f t="shared" si="65"/>
        <v>270.90555555557376</v>
      </c>
      <c r="AB288" s="859"/>
      <c r="AC288" s="859"/>
      <c r="AD288" s="859"/>
      <c r="AE288" s="869"/>
      <c r="AF288" s="869"/>
      <c r="AG288" s="869"/>
      <c r="AH288" s="869"/>
      <c r="AI288" s="869"/>
      <c r="AJ288" s="869"/>
      <c r="AK288" s="869"/>
      <c r="AL288" s="869"/>
      <c r="AM288" s="869"/>
      <c r="AN288" s="869"/>
      <c r="AO288" s="869"/>
      <c r="AP288" s="869"/>
      <c r="AQ288" s="869"/>
      <c r="AR288" s="869"/>
      <c r="AS288" s="869"/>
      <c r="AT288" s="869"/>
      <c r="AU288" s="869"/>
      <c r="AV288" s="869"/>
      <c r="AW288" s="869"/>
      <c r="AX288" s="869"/>
    </row>
    <row r="289" spans="8:8" s="852" customFormat="1" customHeight="1">
      <c r="P289" s="859"/>
      <c r="Q289" s="859"/>
      <c r="R289" s="859"/>
      <c r="T289" s="859"/>
      <c r="W289" s="867">
        <f t="shared" si="63"/>
        <v>0.9500000000000638</v>
      </c>
      <c r="X289" s="868">
        <f t="shared" si="65"/>
        <v>271.70000000001824</v>
      </c>
      <c r="AB289" s="859"/>
      <c r="AC289" s="859"/>
      <c r="AD289" s="859"/>
      <c r="AE289" s="869"/>
      <c r="AF289" s="869"/>
      <c r="AG289" s="869"/>
      <c r="AH289" s="869"/>
      <c r="AI289" s="869"/>
      <c r="AJ289" s="869"/>
      <c r="AK289" s="869"/>
      <c r="AL289" s="869"/>
      <c r="AM289" s="869"/>
      <c r="AN289" s="869"/>
      <c r="AO289" s="869"/>
      <c r="AP289" s="869"/>
      <c r="AQ289" s="869"/>
      <c r="AR289" s="869"/>
      <c r="AS289" s="869"/>
      <c r="AT289" s="869"/>
      <c r="AU289" s="869"/>
      <c r="AV289" s="869"/>
      <c r="AW289" s="869"/>
      <c r="AX289" s="869"/>
    </row>
    <row r="290" spans="8:8" s="852" customFormat="1" customHeight="1">
      <c r="P290" s="859"/>
      <c r="Q290" s="859"/>
      <c r="R290" s="859"/>
      <c r="T290" s="859"/>
      <c r="W290" s="881">
        <f t="shared" si="63"/>
        <v>0.9527777777778418</v>
      </c>
      <c r="X290" s="882">
        <f t="shared" si="65"/>
        <v>272.4944444444628</v>
      </c>
      <c r="AB290" s="859"/>
      <c r="AC290" s="859"/>
      <c r="AD290" s="859"/>
      <c r="AE290" s="869"/>
      <c r="AF290" s="869"/>
      <c r="AG290" s="869"/>
      <c r="AH290" s="869"/>
      <c r="AI290" s="869"/>
      <c r="AJ290" s="869"/>
      <c r="AK290" s="869"/>
      <c r="AL290" s="869"/>
      <c r="AM290" s="869"/>
      <c r="AN290" s="869"/>
      <c r="AO290" s="869"/>
      <c r="AP290" s="869"/>
      <c r="AQ290" s="869"/>
      <c r="AR290" s="869"/>
      <c r="AS290" s="869"/>
      <c r="AT290" s="869"/>
      <c r="AU290" s="869"/>
      <c r="AV290" s="869"/>
      <c r="AW290" s="869"/>
      <c r="AX290" s="869"/>
    </row>
    <row r="291" spans="8:8" s="852" customFormat="1" customHeight="1">
      <c r="P291" s="859"/>
      <c r="Q291" s="859"/>
      <c r="R291" s="859"/>
      <c r="T291" s="859"/>
      <c r="W291" s="881">
        <f t="shared" si="63"/>
        <v>0.9555555555556198</v>
      </c>
      <c r="X291" s="882">
        <f t="shared" si="65"/>
        <v>273.28888888890725</v>
      </c>
      <c r="AB291" s="859"/>
      <c r="AC291" s="859"/>
      <c r="AD291" s="859"/>
      <c r="AE291" s="869"/>
      <c r="AF291" s="869"/>
      <c r="AG291" s="869"/>
      <c r="AH291" s="869"/>
      <c r="AI291" s="869"/>
      <c r="AJ291" s="869"/>
      <c r="AK291" s="869"/>
      <c r="AL291" s="869"/>
      <c r="AM291" s="869"/>
      <c r="AN291" s="869"/>
      <c r="AO291" s="869"/>
      <c r="AP291" s="869"/>
      <c r="AQ291" s="869"/>
      <c r="AR291" s="869"/>
      <c r="AS291" s="869"/>
      <c r="AT291" s="869"/>
      <c r="AU291" s="869"/>
      <c r="AV291" s="869"/>
      <c r="AW291" s="869"/>
      <c r="AX291" s="869"/>
    </row>
    <row r="292" spans="8:8" s="852" customFormat="1" customHeight="1">
      <c r="P292" s="859"/>
      <c r="Q292" s="859"/>
      <c r="R292" s="859"/>
      <c r="T292" s="859"/>
      <c r="W292" s="881">
        <f t="shared" si="63"/>
        <v>0.9583333333333978</v>
      </c>
      <c r="X292" s="882">
        <f t="shared" si="65"/>
        <v>274.0833333333518</v>
      </c>
      <c r="AB292" s="859"/>
      <c r="AC292" s="859"/>
      <c r="AD292" s="859"/>
      <c r="AE292" s="869"/>
      <c r="AF292" s="869"/>
      <c r="AG292" s="869"/>
      <c r="AH292" s="869"/>
      <c r="AI292" s="869"/>
      <c r="AJ292" s="869"/>
      <c r="AK292" s="869"/>
      <c r="AL292" s="869"/>
      <c r="AM292" s="869"/>
      <c r="AN292" s="869"/>
      <c r="AO292" s="869"/>
      <c r="AP292" s="869"/>
      <c r="AQ292" s="869"/>
      <c r="AR292" s="869"/>
      <c r="AS292" s="869"/>
      <c r="AT292" s="869"/>
      <c r="AU292" s="869"/>
      <c r="AV292" s="869"/>
      <c r="AW292" s="869"/>
      <c r="AX292" s="869"/>
    </row>
    <row r="293" spans="8:8" s="852" customFormat="1" customHeight="1">
      <c r="P293" s="859"/>
      <c r="Q293" s="859"/>
      <c r="R293" s="859"/>
      <c r="T293" s="859"/>
      <c r="W293" s="881">
        <f t="shared" si="63"/>
        <v>0.9611111111111758</v>
      </c>
      <c r="X293" s="882">
        <f t="shared" si="65"/>
        <v>274.87777777779627</v>
      </c>
      <c r="AB293" s="859"/>
      <c r="AC293" s="859"/>
      <c r="AD293" s="859"/>
      <c r="AE293" s="869"/>
      <c r="AF293" s="869"/>
      <c r="AG293" s="869"/>
      <c r="AH293" s="869"/>
      <c r="AI293" s="869"/>
      <c r="AJ293" s="869"/>
      <c r="AK293" s="869"/>
      <c r="AL293" s="869"/>
      <c r="AM293" s="869"/>
      <c r="AN293" s="869"/>
      <c r="AO293" s="869"/>
      <c r="AP293" s="869"/>
      <c r="AQ293" s="869"/>
      <c r="AR293" s="869"/>
      <c r="AS293" s="869"/>
      <c r="AT293" s="869"/>
      <c r="AU293" s="869"/>
      <c r="AV293" s="869"/>
      <c r="AW293" s="869"/>
      <c r="AX293" s="869"/>
    </row>
    <row r="294" spans="8:8" s="852" customFormat="1" customHeight="1">
      <c r="P294" s="859"/>
      <c r="Q294" s="859"/>
      <c r="R294" s="859"/>
      <c r="T294" s="859"/>
      <c r="W294" s="881">
        <f t="shared" si="63"/>
        <v>0.9638888888889537</v>
      </c>
      <c r="X294" s="882">
        <f t="shared" si="65"/>
        <v>275.67222222224075</v>
      </c>
      <c r="AB294" s="859"/>
      <c r="AC294" s="859"/>
      <c r="AD294" s="859"/>
      <c r="AE294" s="869"/>
      <c r="AF294" s="869"/>
      <c r="AG294" s="869"/>
      <c r="AH294" s="869"/>
      <c r="AI294" s="869"/>
      <c r="AJ294" s="869"/>
      <c r="AK294" s="869"/>
      <c r="AL294" s="869"/>
      <c r="AM294" s="869"/>
      <c r="AN294" s="869"/>
      <c r="AO294" s="869"/>
      <c r="AP294" s="869"/>
      <c r="AQ294" s="869"/>
      <c r="AR294" s="869"/>
      <c r="AS294" s="869"/>
      <c r="AT294" s="869"/>
      <c r="AU294" s="869"/>
      <c r="AV294" s="869"/>
      <c r="AW294" s="869"/>
      <c r="AX294" s="869"/>
    </row>
    <row r="295" spans="8:8" s="852" customFormat="1" customHeight="1">
      <c r="P295" s="859"/>
      <c r="Q295" s="859"/>
      <c r="R295" s="859"/>
      <c r="T295" s="859"/>
      <c r="W295" s="881">
        <f t="shared" si="63"/>
        <v>0.9666666666667317</v>
      </c>
      <c r="X295" s="882">
        <f t="shared" si="65"/>
        <v>276.4666666666853</v>
      </c>
      <c r="AB295" s="859"/>
      <c r="AC295" s="859"/>
      <c r="AD295" s="859"/>
      <c r="AE295" s="869"/>
      <c r="AF295" s="869"/>
      <c r="AG295" s="869"/>
      <c r="AH295" s="869"/>
      <c r="AI295" s="869"/>
      <c r="AJ295" s="869"/>
      <c r="AK295" s="869"/>
      <c r="AL295" s="869"/>
      <c r="AM295" s="869"/>
      <c r="AN295" s="869"/>
      <c r="AO295" s="869"/>
      <c r="AP295" s="869"/>
      <c r="AQ295" s="869"/>
      <c r="AR295" s="869"/>
      <c r="AS295" s="869"/>
      <c r="AT295" s="869"/>
      <c r="AU295" s="869"/>
      <c r="AV295" s="869"/>
      <c r="AW295" s="869"/>
      <c r="AX295" s="869"/>
    </row>
    <row r="296" spans="8:8" s="852" customFormat="1" customHeight="1">
      <c r="P296" s="859"/>
      <c r="Q296" s="859"/>
      <c r="R296" s="859"/>
      <c r="T296" s="859"/>
      <c r="W296" s="881">
        <f t="shared" si="63"/>
        <v>0.9694444444445097</v>
      </c>
      <c r="X296" s="882">
        <f t="shared" si="65"/>
        <v>277.26111111112976</v>
      </c>
      <c r="AB296" s="859"/>
      <c r="AC296" s="859"/>
      <c r="AD296" s="859"/>
      <c r="AE296" s="869"/>
      <c r="AF296" s="869"/>
      <c r="AG296" s="869"/>
      <c r="AH296" s="869"/>
      <c r="AI296" s="869"/>
      <c r="AJ296" s="869"/>
      <c r="AK296" s="869"/>
      <c r="AL296" s="869"/>
      <c r="AM296" s="869"/>
      <c r="AN296" s="869"/>
      <c r="AO296" s="869"/>
      <c r="AP296" s="869"/>
      <c r="AQ296" s="869"/>
      <c r="AR296" s="869"/>
      <c r="AS296" s="869"/>
      <c r="AT296" s="869"/>
      <c r="AU296" s="869"/>
      <c r="AV296" s="869"/>
      <c r="AW296" s="869"/>
      <c r="AX296" s="869"/>
    </row>
    <row r="297" spans="8:8" s="852" customFormat="1" customHeight="1">
      <c r="P297" s="859"/>
      <c r="Q297" s="859"/>
      <c r="R297" s="859"/>
      <c r="T297" s="859"/>
      <c r="W297" s="881">
        <f t="shared" si="63"/>
        <v>0.9722222222222877</v>
      </c>
      <c r="X297" s="882">
        <f t="shared" si="65"/>
        <v>278.0555555555743</v>
      </c>
      <c r="AB297" s="859"/>
      <c r="AC297" s="859"/>
      <c r="AD297" s="859"/>
      <c r="AE297" s="869"/>
      <c r="AF297" s="869"/>
      <c r="AG297" s="869"/>
      <c r="AH297" s="869"/>
      <c r="AI297" s="869"/>
      <c r="AJ297" s="869"/>
      <c r="AK297" s="869"/>
      <c r="AL297" s="869"/>
      <c r="AM297" s="869"/>
      <c r="AN297" s="869"/>
      <c r="AO297" s="869"/>
      <c r="AP297" s="869"/>
      <c r="AQ297" s="869"/>
      <c r="AR297" s="869"/>
      <c r="AS297" s="869"/>
      <c r="AT297" s="869"/>
      <c r="AU297" s="869"/>
      <c r="AV297" s="869"/>
      <c r="AW297" s="869"/>
      <c r="AX297" s="869"/>
    </row>
    <row r="298" spans="8:8" s="852" customFormat="1" customHeight="1">
      <c r="P298" s="859"/>
      <c r="Q298" s="859"/>
      <c r="R298" s="859"/>
      <c r="T298" s="859"/>
      <c r="W298" s="867">
        <f t="shared" si="63"/>
        <v>0.9750000000000658</v>
      </c>
      <c r="X298" s="868">
        <f>$D$1*W298</f>
        <v>278.85000000001884</v>
      </c>
      <c r="AB298" s="859"/>
      <c r="AC298" s="859"/>
      <c r="AD298" s="859"/>
      <c r="AE298" s="869"/>
      <c r="AF298" s="869"/>
      <c r="AG298" s="869"/>
      <c r="AH298" s="869"/>
      <c r="AI298" s="869"/>
      <c r="AJ298" s="869"/>
      <c r="AK298" s="869"/>
      <c r="AL298" s="869"/>
      <c r="AM298" s="869"/>
      <c r="AN298" s="869"/>
      <c r="AO298" s="869"/>
      <c r="AP298" s="869"/>
      <c r="AQ298" s="869"/>
      <c r="AR298" s="869"/>
      <c r="AS298" s="869"/>
      <c r="AT298" s="869"/>
      <c r="AU298" s="869"/>
      <c r="AV298" s="869"/>
      <c r="AW298" s="869"/>
      <c r="AX298" s="869"/>
    </row>
    <row r="299" spans="8:8" s="852" customFormat="1" customHeight="1">
      <c r="P299" s="859"/>
      <c r="Q299" s="859"/>
      <c r="R299" s="859"/>
      <c r="T299" s="859"/>
      <c r="W299" s="881">
        <f t="shared" si="63"/>
        <v>0.9777777777778438</v>
      </c>
      <c r="X299" s="882">
        <f t="shared" si="65"/>
        <v>279.6444444444633</v>
      </c>
      <c r="AB299" s="859"/>
      <c r="AC299" s="859"/>
      <c r="AD299" s="859"/>
      <c r="AE299" s="869"/>
      <c r="AF299" s="869"/>
      <c r="AG299" s="869"/>
      <c r="AH299" s="869"/>
      <c r="AI299" s="869"/>
      <c r="AJ299" s="869"/>
      <c r="AK299" s="869"/>
      <c r="AL299" s="869"/>
      <c r="AM299" s="869"/>
      <c r="AN299" s="869"/>
      <c r="AO299" s="869"/>
      <c r="AP299" s="869"/>
      <c r="AQ299" s="869"/>
      <c r="AR299" s="869"/>
      <c r="AS299" s="869"/>
      <c r="AT299" s="869"/>
      <c r="AU299" s="869"/>
      <c r="AV299" s="869"/>
      <c r="AW299" s="869"/>
      <c r="AX299" s="869"/>
    </row>
    <row r="300" spans="8:8" s="852" customFormat="1" customHeight="1">
      <c r="P300" s="859"/>
      <c r="Q300" s="859"/>
      <c r="R300" s="859"/>
      <c r="T300" s="859"/>
      <c r="W300" s="881">
        <f t="shared" si="63"/>
        <v>0.9805555555556218</v>
      </c>
      <c r="X300" s="882">
        <f t="shared" si="65"/>
        <v>280.43888888890785</v>
      </c>
      <c r="AB300" s="859"/>
      <c r="AC300" s="859"/>
      <c r="AD300" s="859"/>
      <c r="AE300" s="869"/>
      <c r="AF300" s="869"/>
      <c r="AG300" s="869"/>
      <c r="AH300" s="869"/>
      <c r="AI300" s="869"/>
      <c r="AJ300" s="869"/>
      <c r="AK300" s="869"/>
      <c r="AL300" s="869"/>
      <c r="AM300" s="869"/>
      <c r="AN300" s="869"/>
      <c r="AO300" s="869"/>
      <c r="AP300" s="869"/>
      <c r="AQ300" s="869"/>
      <c r="AR300" s="869"/>
      <c r="AS300" s="869"/>
      <c r="AT300" s="869"/>
      <c r="AU300" s="869"/>
      <c r="AV300" s="869"/>
      <c r="AW300" s="869"/>
      <c r="AX300" s="869"/>
    </row>
    <row r="301" spans="8:8" s="852" customFormat="1" customHeight="1">
      <c r="P301" s="859"/>
      <c r="Q301" s="859"/>
      <c r="R301" s="859"/>
      <c r="T301" s="859"/>
      <c r="W301" s="881">
        <f t="shared" si="63"/>
        <v>0.9833333333333998</v>
      </c>
      <c r="X301" s="882">
        <f t="shared" si="65"/>
        <v>281.23333333335233</v>
      </c>
      <c r="AB301" s="859"/>
      <c r="AC301" s="859"/>
      <c r="AD301" s="859"/>
      <c r="AE301" s="869"/>
      <c r="AF301" s="869"/>
      <c r="AG301" s="869"/>
      <c r="AH301" s="869"/>
      <c r="AI301" s="869"/>
      <c r="AJ301" s="869"/>
      <c r="AK301" s="869"/>
      <c r="AL301" s="869"/>
      <c r="AM301" s="869"/>
      <c r="AN301" s="869"/>
      <c r="AO301" s="869"/>
      <c r="AP301" s="869"/>
      <c r="AQ301" s="869"/>
      <c r="AR301" s="869"/>
      <c r="AS301" s="869"/>
      <c r="AT301" s="869"/>
      <c r="AU301" s="869"/>
      <c r="AV301" s="869"/>
      <c r="AW301" s="869"/>
      <c r="AX301" s="869"/>
    </row>
    <row r="302" spans="8:8" s="852" customFormat="1" customHeight="1">
      <c r="P302" s="859"/>
      <c r="Q302" s="859"/>
      <c r="R302" s="859"/>
      <c r="T302" s="859"/>
      <c r="W302" s="881">
        <f t="shared" si="63"/>
        <v>0.9861111111111778</v>
      </c>
      <c r="X302" s="882">
        <f t="shared" si="65"/>
        <v>282.02777777779687</v>
      </c>
      <c r="AB302" s="859"/>
      <c r="AC302" s="859"/>
      <c r="AD302" s="859"/>
      <c r="AE302" s="869"/>
      <c r="AF302" s="869"/>
      <c r="AG302" s="869"/>
      <c r="AH302" s="869"/>
      <c r="AI302" s="869"/>
      <c r="AJ302" s="869"/>
      <c r="AK302" s="869"/>
      <c r="AL302" s="869"/>
      <c r="AM302" s="869"/>
      <c r="AN302" s="869"/>
      <c r="AO302" s="869"/>
      <c r="AP302" s="869"/>
      <c r="AQ302" s="869"/>
      <c r="AR302" s="869"/>
      <c r="AS302" s="869"/>
      <c r="AT302" s="869"/>
      <c r="AU302" s="869"/>
      <c r="AV302" s="869"/>
      <c r="AW302" s="869"/>
      <c r="AX302" s="869"/>
    </row>
    <row r="303" spans="8:8" s="852" customFormat="1" customHeight="1">
      <c r="P303" s="859"/>
      <c r="Q303" s="859"/>
      <c r="R303" s="859"/>
      <c r="T303" s="859"/>
      <c r="W303" s="881">
        <f t="shared" si="63"/>
        <v>0.9888888888889558</v>
      </c>
      <c r="X303" s="882">
        <f t="shared" si="65"/>
        <v>282.82222222224135</v>
      </c>
      <c r="AB303" s="859"/>
      <c r="AC303" s="859"/>
      <c r="AD303" s="859"/>
      <c r="AE303" s="869"/>
      <c r="AF303" s="869"/>
      <c r="AG303" s="869"/>
      <c r="AH303" s="869"/>
      <c r="AI303" s="869"/>
      <c r="AJ303" s="869"/>
      <c r="AK303" s="869"/>
      <c r="AL303" s="869"/>
      <c r="AM303" s="869"/>
      <c r="AN303" s="869"/>
      <c r="AO303" s="869"/>
      <c r="AP303" s="869"/>
      <c r="AQ303" s="869"/>
      <c r="AR303" s="869"/>
      <c r="AS303" s="869"/>
      <c r="AT303" s="869"/>
      <c r="AU303" s="869"/>
      <c r="AV303" s="869"/>
      <c r="AW303" s="869"/>
      <c r="AX303" s="869"/>
    </row>
    <row r="304" spans="8:8" s="852" customFormat="1" customHeight="1">
      <c r="P304" s="859"/>
      <c r="Q304" s="859"/>
      <c r="R304" s="859"/>
      <c r="T304" s="859"/>
      <c r="W304" s="881">
        <f t="shared" si="63"/>
        <v>0.9916666666667338</v>
      </c>
      <c r="X304" s="882">
        <f t="shared" si="65"/>
        <v>283.61666666668583</v>
      </c>
      <c r="AB304" s="859"/>
      <c r="AC304" s="859"/>
      <c r="AD304" s="859"/>
      <c r="AE304" s="869"/>
      <c r="AF304" s="869"/>
      <c r="AG304" s="869"/>
      <c r="AH304" s="869"/>
      <c r="AI304" s="869"/>
      <c r="AJ304" s="869"/>
      <c r="AK304" s="869"/>
      <c r="AL304" s="869"/>
      <c r="AM304" s="869"/>
      <c r="AN304" s="869"/>
      <c r="AO304" s="869"/>
      <c r="AP304" s="869"/>
      <c r="AQ304" s="869"/>
      <c r="AR304" s="869"/>
      <c r="AS304" s="869"/>
      <c r="AT304" s="869"/>
      <c r="AU304" s="869"/>
      <c r="AV304" s="869"/>
      <c r="AW304" s="869"/>
      <c r="AX304" s="869"/>
    </row>
    <row r="305" spans="8:8" s="852" customFormat="1" customHeight="1">
      <c r="P305" s="859"/>
      <c r="Q305" s="859"/>
      <c r="R305" s="859"/>
      <c r="T305" s="859"/>
      <c r="W305" s="881">
        <f t="shared" si="63"/>
        <v>0.9944444444445117</v>
      </c>
      <c r="X305" s="882">
        <f t="shared" si="65"/>
        <v>284.41111111113037</v>
      </c>
      <c r="AB305" s="859"/>
      <c r="AC305" s="859"/>
      <c r="AD305" s="859"/>
      <c r="AE305" s="869"/>
      <c r="AF305" s="869"/>
      <c r="AG305" s="869"/>
      <c r="AH305" s="869"/>
      <c r="AI305" s="869"/>
      <c r="AJ305" s="869"/>
      <c r="AK305" s="869"/>
      <c r="AL305" s="869"/>
      <c r="AM305" s="869"/>
      <c r="AN305" s="869"/>
      <c r="AO305" s="869"/>
      <c r="AP305" s="869"/>
      <c r="AQ305" s="869"/>
      <c r="AR305" s="869"/>
      <c r="AS305" s="869"/>
      <c r="AT305" s="869"/>
      <c r="AU305" s="869"/>
      <c r="AV305" s="869"/>
      <c r="AW305" s="869"/>
      <c r="AX305" s="869"/>
    </row>
    <row r="306" spans="8:8" s="852" customFormat="1" customHeight="1">
      <c r="P306" s="859"/>
      <c r="Q306" s="859"/>
      <c r="R306" s="859"/>
      <c r="T306" s="859"/>
      <c r="W306" s="881">
        <f t="shared" si="63"/>
        <v>0.9972222222222897</v>
      </c>
      <c r="X306" s="882">
        <f t="shared" si="65"/>
        <v>285.20555555557485</v>
      </c>
      <c r="AB306" s="859"/>
      <c r="AC306" s="859"/>
      <c r="AD306" s="859"/>
      <c r="AE306" s="869"/>
      <c r="AF306" s="869"/>
      <c r="AG306" s="869"/>
      <c r="AH306" s="869"/>
      <c r="AI306" s="869"/>
      <c r="AJ306" s="869"/>
      <c r="AK306" s="869"/>
      <c r="AL306" s="869"/>
      <c r="AM306" s="869"/>
      <c r="AN306" s="869"/>
      <c r="AO306" s="869"/>
      <c r="AP306" s="869"/>
      <c r="AQ306" s="869"/>
      <c r="AR306" s="869"/>
      <c r="AS306" s="869"/>
      <c r="AT306" s="869"/>
      <c r="AU306" s="869"/>
      <c r="AV306" s="869"/>
      <c r="AW306" s="869"/>
      <c r="AX306" s="869"/>
    </row>
    <row r="307" spans="8:8" s="852" customFormat="1" customHeight="1">
      <c r="P307" s="859"/>
      <c r="Q307" s="859"/>
      <c r="R307" s="859"/>
      <c r="T307" s="859"/>
      <c r="W307" s="973">
        <f t="shared" si="63"/>
        <v>1.0000000000000677</v>
      </c>
      <c r="X307" s="974">
        <f t="shared" si="65"/>
        <v>286.0000000000194</v>
      </c>
      <c r="AB307" s="859"/>
      <c r="AC307" s="859"/>
      <c r="AD307" s="859"/>
      <c r="AE307" s="869"/>
      <c r="AF307" s="869"/>
      <c r="AG307" s="869"/>
      <c r="AH307" s="869"/>
      <c r="AI307" s="869"/>
      <c r="AJ307" s="869"/>
      <c r="AK307" s="869"/>
      <c r="AL307" s="869"/>
      <c r="AM307" s="869"/>
      <c r="AN307" s="869"/>
      <c r="AO307" s="869"/>
      <c r="AP307" s="869"/>
      <c r="AQ307" s="869"/>
      <c r="AR307" s="869"/>
      <c r="AS307" s="869"/>
      <c r="AT307" s="869"/>
      <c r="AU307" s="869"/>
      <c r="AV307" s="869"/>
      <c r="AW307" s="869"/>
      <c r="AX307" s="869"/>
    </row>
    <row r="308" spans="8:8" s="852" customFormat="1" customHeight="1">
      <c r="P308" s="859"/>
      <c r="Q308" s="859"/>
      <c r="R308" s="859"/>
      <c r="T308" s="859"/>
      <c r="AB308" s="859"/>
      <c r="AC308" s="859"/>
      <c r="AD308" s="859"/>
      <c r="AE308" s="869"/>
      <c r="AF308" s="869"/>
      <c r="AG308" s="869"/>
      <c r="AH308" s="869"/>
      <c r="AI308" s="869"/>
      <c r="AJ308" s="869"/>
      <c r="AK308" s="869"/>
      <c r="AL308" s="869"/>
      <c r="AM308" s="869"/>
      <c r="AN308" s="869"/>
      <c r="AO308" s="869"/>
      <c r="AP308" s="869"/>
      <c r="AQ308" s="869"/>
      <c r="AR308" s="869"/>
      <c r="AS308" s="869"/>
      <c r="AT308" s="869"/>
      <c r="AU308" s="869"/>
      <c r="AV308" s="869"/>
      <c r="AW308" s="869"/>
      <c r="AX308" s="869"/>
    </row>
    <row r="309" spans="8:8" s="852" customFormat="1" customHeight="1">
      <c r="P309" s="859"/>
      <c r="Q309" s="859"/>
      <c r="R309" s="859"/>
      <c r="T309" s="859"/>
      <c r="AB309" s="859"/>
      <c r="AC309" s="859"/>
      <c r="AD309" s="859"/>
      <c r="AE309" s="869"/>
      <c r="AF309" s="869"/>
      <c r="AG309" s="869"/>
      <c r="AH309" s="869"/>
      <c r="AI309" s="869"/>
      <c r="AJ309" s="869"/>
      <c r="AK309" s="869"/>
      <c r="AL309" s="869"/>
      <c r="AM309" s="869"/>
      <c r="AN309" s="869"/>
      <c r="AO309" s="869"/>
      <c r="AP309" s="869"/>
      <c r="AQ309" s="869"/>
      <c r="AR309" s="869"/>
      <c r="AS309" s="869"/>
      <c r="AT309" s="869"/>
      <c r="AU309" s="869"/>
      <c r="AV309" s="869"/>
      <c r="AW309" s="869"/>
      <c r="AX309" s="869"/>
    </row>
    <row r="310" spans="8:8" s="852" customFormat="1" customHeight="1">
      <c r="P310" s="859"/>
      <c r="Q310" s="859"/>
      <c r="R310" s="859"/>
      <c r="T310" s="859"/>
      <c r="AB310" s="859"/>
      <c r="AC310" s="859"/>
      <c r="AD310" s="859"/>
      <c r="AE310" s="869"/>
      <c r="AF310" s="869"/>
      <c r="AG310" s="869"/>
      <c r="AH310" s="869"/>
      <c r="AI310" s="869"/>
      <c r="AJ310" s="869"/>
      <c r="AK310" s="869"/>
      <c r="AL310" s="869"/>
      <c r="AM310" s="869"/>
      <c r="AN310" s="869"/>
      <c r="AO310" s="869"/>
      <c r="AP310" s="869"/>
      <c r="AQ310" s="869"/>
      <c r="AR310" s="869"/>
      <c r="AS310" s="869"/>
      <c r="AT310" s="869"/>
      <c r="AU310" s="869"/>
      <c r="AV310" s="869"/>
      <c r="AW310" s="869"/>
      <c r="AX310" s="869"/>
    </row>
    <row r="311" spans="8:8" s="852" customFormat="1" customHeight="1">
      <c r="P311" s="859"/>
      <c r="Q311" s="859"/>
      <c r="R311" s="859"/>
      <c r="T311" s="859"/>
      <c r="AB311" s="859"/>
      <c r="AC311" s="859"/>
      <c r="AD311" s="859"/>
      <c r="AE311" s="869"/>
      <c r="AF311" s="869"/>
      <c r="AG311" s="869"/>
      <c r="AH311" s="869"/>
      <c r="AI311" s="869"/>
      <c r="AJ311" s="869"/>
      <c r="AK311" s="869"/>
      <c r="AL311" s="869"/>
      <c r="AM311" s="869"/>
      <c r="AN311" s="869"/>
      <c r="AO311" s="869"/>
      <c r="AP311" s="869"/>
      <c r="AQ311" s="869"/>
      <c r="AR311" s="869"/>
      <c r="AS311" s="869"/>
      <c r="AT311" s="869"/>
      <c r="AU311" s="869"/>
      <c r="AV311" s="869"/>
      <c r="AW311" s="869"/>
      <c r="AX311" s="869"/>
    </row>
    <row r="312" spans="8:8" s="852" customFormat="1" customHeight="1">
      <c r="P312" s="859"/>
      <c r="Q312" s="859"/>
      <c r="R312" s="859"/>
      <c r="T312" s="859"/>
      <c r="AB312" s="859"/>
      <c r="AC312" s="859"/>
      <c r="AD312" s="859"/>
      <c r="AE312" s="869"/>
      <c r="AF312" s="869"/>
      <c r="AG312" s="869"/>
      <c r="AH312" s="869"/>
      <c r="AI312" s="869"/>
      <c r="AJ312" s="869"/>
      <c r="AK312" s="869"/>
      <c r="AL312" s="869"/>
      <c r="AM312" s="869"/>
      <c r="AN312" s="869"/>
      <c r="AO312" s="869"/>
      <c r="AP312" s="869"/>
      <c r="AQ312" s="869"/>
      <c r="AR312" s="869"/>
      <c r="AS312" s="869"/>
      <c r="AT312" s="869"/>
      <c r="AU312" s="869"/>
      <c r="AV312" s="869"/>
      <c r="AW312" s="869"/>
      <c r="AX312" s="869"/>
    </row>
    <row r="313" spans="8:8" s="852" customFormat="1" customHeight="1">
      <c r="P313" s="859"/>
      <c r="Q313" s="859"/>
      <c r="R313" s="859"/>
      <c r="T313" s="859"/>
      <c r="AB313" s="859"/>
      <c r="AC313" s="859"/>
      <c r="AD313" s="859"/>
      <c r="AE313" s="869"/>
      <c r="AF313" s="869"/>
      <c r="AG313" s="869"/>
      <c r="AH313" s="869"/>
      <c r="AI313" s="869"/>
      <c r="AJ313" s="869"/>
      <c r="AK313" s="869"/>
      <c r="AL313" s="869"/>
      <c r="AM313" s="869"/>
      <c r="AN313" s="869"/>
      <c r="AO313" s="869"/>
      <c r="AP313" s="869"/>
      <c r="AQ313" s="869"/>
      <c r="AR313" s="869"/>
      <c r="AS313" s="869"/>
      <c r="AT313" s="869"/>
      <c r="AU313" s="869"/>
      <c r="AV313" s="869"/>
      <c r="AW313" s="869"/>
      <c r="AX313" s="869"/>
    </row>
    <row r="314" spans="8:8" s="852" customFormat="1" customHeight="1">
      <c r="P314" s="859"/>
      <c r="Q314" s="859"/>
      <c r="R314" s="859"/>
      <c r="T314" s="859"/>
      <c r="AB314" s="859"/>
      <c r="AC314" s="859"/>
      <c r="AD314" s="859"/>
      <c r="AE314" s="869"/>
      <c r="AF314" s="869"/>
      <c r="AG314" s="869"/>
      <c r="AH314" s="869"/>
      <c r="AI314" s="869"/>
      <c r="AJ314" s="869"/>
      <c r="AK314" s="869"/>
      <c r="AL314" s="869"/>
      <c r="AM314" s="869"/>
      <c r="AN314" s="869"/>
      <c r="AO314" s="869"/>
      <c r="AP314" s="869"/>
      <c r="AQ314" s="869"/>
      <c r="AR314" s="869"/>
      <c r="AS314" s="869"/>
      <c r="AT314" s="869"/>
      <c r="AU314" s="869"/>
      <c r="AV314" s="869"/>
      <c r="AW314" s="869"/>
      <c r="AX314" s="869"/>
    </row>
    <row r="315" spans="8:8" s="852" customFormat="1" customHeight="1">
      <c r="P315" s="859"/>
      <c r="Q315" s="859"/>
      <c r="R315" s="859"/>
      <c r="T315" s="859"/>
      <c r="AB315" s="859"/>
      <c r="AC315" s="859"/>
      <c r="AD315" s="859"/>
      <c r="AE315" s="869"/>
      <c r="AF315" s="869"/>
      <c r="AG315" s="869"/>
      <c r="AH315" s="869"/>
      <c r="AI315" s="869"/>
      <c r="AJ315" s="869"/>
      <c r="AK315" s="869"/>
      <c r="AL315" s="869"/>
      <c r="AM315" s="869"/>
      <c r="AN315" s="869"/>
      <c r="AO315" s="869"/>
      <c r="AP315" s="869"/>
      <c r="AQ315" s="869"/>
      <c r="AR315" s="869"/>
      <c r="AS315" s="869"/>
      <c r="AT315" s="869"/>
      <c r="AU315" s="869"/>
      <c r="AV315" s="869"/>
      <c r="AW315" s="869"/>
      <c r="AX315" s="869"/>
    </row>
    <row r="316" spans="8:8" s="852" customFormat="1" customHeight="1">
      <c r="P316" s="859"/>
      <c r="Q316" s="859"/>
      <c r="R316" s="859"/>
      <c r="T316" s="859"/>
      <c r="AB316" s="859"/>
      <c r="AC316" s="859"/>
      <c r="AD316" s="859"/>
      <c r="AE316" s="869"/>
      <c r="AF316" s="869"/>
      <c r="AG316" s="869"/>
      <c r="AH316" s="869"/>
      <c r="AI316" s="869"/>
      <c r="AJ316" s="869"/>
      <c r="AK316" s="869"/>
      <c r="AL316" s="869"/>
      <c r="AM316" s="869"/>
      <c r="AN316" s="869"/>
      <c r="AO316" s="869"/>
      <c r="AP316" s="869"/>
      <c r="AQ316" s="869"/>
      <c r="AR316" s="869"/>
      <c r="AS316" s="869"/>
      <c r="AT316" s="869"/>
      <c r="AU316" s="869"/>
      <c r="AV316" s="869"/>
      <c r="AW316" s="869"/>
      <c r="AX316" s="869"/>
    </row>
    <row r="317" spans="8:8" s="852" customFormat="1" customHeight="1">
      <c r="P317" s="859"/>
      <c r="Q317" s="859"/>
      <c r="R317" s="859"/>
      <c r="T317" s="859"/>
      <c r="AB317" s="859"/>
      <c r="AC317" s="859"/>
      <c r="AD317" s="859"/>
      <c r="AE317" s="869"/>
      <c r="AF317" s="869"/>
      <c r="AG317" s="869"/>
      <c r="AH317" s="869"/>
      <c r="AI317" s="869"/>
      <c r="AJ317" s="869"/>
      <c r="AK317" s="869"/>
      <c r="AL317" s="869"/>
      <c r="AM317" s="869"/>
      <c r="AN317" s="869"/>
      <c r="AO317" s="869"/>
      <c r="AP317" s="869"/>
      <c r="AQ317" s="869"/>
      <c r="AR317" s="869"/>
      <c r="AS317" s="869"/>
      <c r="AT317" s="869"/>
      <c r="AU317" s="869"/>
      <c r="AV317" s="869"/>
      <c r="AW317" s="869"/>
      <c r="AX317" s="869"/>
    </row>
    <row r="318" spans="8:8" s="852" customFormat="1" customHeight="1">
      <c r="P318" s="859"/>
      <c r="Q318" s="859"/>
      <c r="R318" s="859"/>
      <c r="T318" s="859"/>
      <c r="AB318" s="859"/>
      <c r="AC318" s="859"/>
      <c r="AD318" s="859"/>
      <c r="AE318" s="869"/>
      <c r="AF318" s="869"/>
      <c r="AG318" s="869"/>
      <c r="AH318" s="869"/>
      <c r="AI318" s="869"/>
      <c r="AJ318" s="869"/>
      <c r="AK318" s="869"/>
      <c r="AL318" s="869"/>
      <c r="AM318" s="869"/>
      <c r="AN318" s="869"/>
      <c r="AO318" s="869"/>
      <c r="AP318" s="869"/>
      <c r="AQ318" s="869"/>
      <c r="AR318" s="869"/>
      <c r="AS318" s="869"/>
      <c r="AT318" s="869"/>
      <c r="AU318" s="869"/>
      <c r="AV318" s="869"/>
      <c r="AW318" s="869"/>
      <c r="AX318" s="869"/>
    </row>
    <row r="319" spans="8:8" s="852" customFormat="1" customHeight="1">
      <c r="P319" s="859"/>
      <c r="Q319" s="859"/>
      <c r="R319" s="859"/>
      <c r="T319" s="859"/>
      <c r="AB319" s="859"/>
      <c r="AC319" s="859"/>
      <c r="AD319" s="859"/>
      <c r="AE319" s="869"/>
      <c r="AF319" s="869"/>
      <c r="AG319" s="869"/>
      <c r="AH319" s="869"/>
      <c r="AI319" s="869"/>
      <c r="AJ319" s="869"/>
      <c r="AK319" s="869"/>
      <c r="AL319" s="869"/>
      <c r="AM319" s="869"/>
      <c r="AN319" s="869"/>
      <c r="AO319" s="869"/>
      <c r="AP319" s="869"/>
      <c r="AQ319" s="869"/>
      <c r="AR319" s="869"/>
      <c r="AS319" s="869"/>
      <c r="AT319" s="869"/>
      <c r="AU319" s="869"/>
      <c r="AV319" s="869"/>
      <c r="AW319" s="869"/>
      <c r="AX319" s="869"/>
    </row>
    <row r="320" spans="8:8" s="852" customFormat="1" customHeight="1">
      <c r="P320" s="859"/>
      <c r="Q320" s="859"/>
      <c r="R320" s="859"/>
      <c r="T320" s="859"/>
      <c r="AB320" s="859"/>
      <c r="AC320" s="859"/>
      <c r="AD320" s="859"/>
      <c r="AE320" s="869"/>
      <c r="AF320" s="869"/>
      <c r="AG320" s="869"/>
      <c r="AH320" s="869"/>
      <c r="AI320" s="869"/>
      <c r="AJ320" s="869"/>
      <c r="AK320" s="869"/>
      <c r="AL320" s="869"/>
      <c r="AM320" s="869"/>
      <c r="AN320" s="869"/>
      <c r="AO320" s="869"/>
      <c r="AP320" s="869"/>
      <c r="AQ320" s="869"/>
      <c r="AR320" s="869"/>
      <c r="AS320" s="869"/>
      <c r="AT320" s="869"/>
      <c r="AU320" s="869"/>
      <c r="AV320" s="869"/>
      <c r="AW320" s="869"/>
      <c r="AX320" s="869"/>
    </row>
    <row r="321" spans="8:8" s="852" customFormat="1" customHeight="1">
      <c r="P321" s="859"/>
      <c r="Q321" s="859"/>
      <c r="R321" s="859"/>
      <c r="T321" s="859"/>
      <c r="AB321" s="859"/>
      <c r="AC321" s="859"/>
      <c r="AD321" s="859"/>
      <c r="AE321" s="869"/>
      <c r="AF321" s="869"/>
      <c r="AG321" s="869"/>
      <c r="AH321" s="869"/>
      <c r="AI321" s="869"/>
      <c r="AJ321" s="869"/>
      <c r="AK321" s="869"/>
      <c r="AL321" s="869"/>
      <c r="AM321" s="869"/>
      <c r="AN321" s="869"/>
      <c r="AO321" s="869"/>
      <c r="AP321" s="869"/>
      <c r="AQ321" s="869"/>
      <c r="AR321" s="869"/>
      <c r="AS321" s="869"/>
      <c r="AT321" s="869"/>
      <c r="AU321" s="869"/>
      <c r="AV321" s="869"/>
      <c r="AW321" s="869"/>
      <c r="AX321" s="869"/>
    </row>
    <row r="322" spans="8:8" s="852" customFormat="1" customHeight="1">
      <c r="P322" s="859"/>
      <c r="Q322" s="859"/>
      <c r="R322" s="859"/>
      <c r="T322" s="859"/>
      <c r="AB322" s="859"/>
      <c r="AC322" s="859"/>
      <c r="AD322" s="859"/>
      <c r="AE322" s="869"/>
      <c r="AF322" s="869"/>
      <c r="AG322" s="869"/>
      <c r="AH322" s="869"/>
      <c r="AI322" s="869"/>
      <c r="AJ322" s="869"/>
      <c r="AK322" s="869"/>
      <c r="AL322" s="869"/>
      <c r="AM322" s="869"/>
      <c r="AN322" s="869"/>
      <c r="AO322" s="869"/>
      <c r="AP322" s="869"/>
      <c r="AQ322" s="869"/>
      <c r="AR322" s="869"/>
      <c r="AS322" s="869"/>
      <c r="AT322" s="869"/>
      <c r="AU322" s="869"/>
      <c r="AV322" s="869"/>
      <c r="AW322" s="869"/>
      <c r="AX322" s="869"/>
    </row>
    <row r="323" spans="8:8" s="852" customFormat="1" customHeight="1">
      <c r="P323" s="859"/>
      <c r="Q323" s="859"/>
      <c r="R323" s="859"/>
      <c r="T323" s="859"/>
      <c r="AB323" s="859"/>
      <c r="AC323" s="859"/>
      <c r="AD323" s="859"/>
      <c r="AE323" s="869"/>
      <c r="AF323" s="869"/>
      <c r="AG323" s="869"/>
      <c r="AH323" s="869"/>
      <c r="AI323" s="869"/>
      <c r="AJ323" s="869"/>
      <c r="AK323" s="869"/>
      <c r="AL323" s="869"/>
      <c r="AM323" s="869"/>
      <c r="AN323" s="869"/>
      <c r="AO323" s="869"/>
      <c r="AP323" s="869"/>
      <c r="AQ323" s="869"/>
      <c r="AR323" s="869"/>
      <c r="AS323" s="869"/>
      <c r="AT323" s="869"/>
      <c r="AU323" s="869"/>
      <c r="AV323" s="869"/>
      <c r="AW323" s="869"/>
      <c r="AX323" s="869"/>
    </row>
    <row r="324" spans="8:8" s="852" customFormat="1" customHeight="1">
      <c r="P324" s="859"/>
      <c r="Q324" s="859"/>
      <c r="R324" s="859"/>
      <c r="T324" s="859"/>
      <c r="AB324" s="859"/>
      <c r="AC324" s="859"/>
      <c r="AD324" s="859"/>
      <c r="AE324" s="869"/>
      <c r="AF324" s="869"/>
      <c r="AG324" s="869"/>
      <c r="AH324" s="869"/>
      <c r="AI324" s="869"/>
      <c r="AJ324" s="869"/>
      <c r="AK324" s="869"/>
      <c r="AL324" s="869"/>
      <c r="AM324" s="869"/>
      <c r="AN324" s="869"/>
      <c r="AO324" s="869"/>
      <c r="AP324" s="869"/>
      <c r="AQ324" s="869"/>
      <c r="AR324" s="869"/>
      <c r="AS324" s="869"/>
      <c r="AT324" s="869"/>
      <c r="AU324" s="869"/>
      <c r="AV324" s="869"/>
      <c r="AW324" s="869"/>
      <c r="AX324" s="869"/>
    </row>
    <row r="325" spans="8:8" s="852" customFormat="1" customHeight="1">
      <c r="P325" s="859"/>
      <c r="Q325" s="859"/>
      <c r="R325" s="859"/>
      <c r="T325" s="859"/>
      <c r="AB325" s="859"/>
      <c r="AC325" s="859"/>
      <c r="AD325" s="859"/>
      <c r="AE325" s="869"/>
      <c r="AF325" s="869"/>
      <c r="AG325" s="869"/>
      <c r="AH325" s="869"/>
      <c r="AI325" s="869"/>
      <c r="AJ325" s="869"/>
      <c r="AK325" s="869"/>
      <c r="AL325" s="869"/>
      <c r="AM325" s="869"/>
      <c r="AN325" s="869"/>
      <c r="AO325" s="869"/>
      <c r="AP325" s="869"/>
      <c r="AQ325" s="869"/>
      <c r="AR325" s="869"/>
      <c r="AS325" s="869"/>
      <c r="AT325" s="869"/>
      <c r="AU325" s="869"/>
      <c r="AV325" s="869"/>
      <c r="AW325" s="869"/>
      <c r="AX325" s="869"/>
    </row>
    <row r="326" spans="8:8" s="852" customFormat="1" customHeight="1">
      <c r="P326" s="859"/>
      <c r="Q326" s="859"/>
      <c r="R326" s="859"/>
      <c r="T326" s="859"/>
      <c r="AB326" s="859"/>
      <c r="AC326" s="859"/>
      <c r="AD326" s="859"/>
      <c r="AE326" s="869"/>
      <c r="AF326" s="869"/>
      <c r="AG326" s="869"/>
      <c r="AH326" s="869"/>
      <c r="AI326" s="869"/>
      <c r="AJ326" s="869"/>
      <c r="AK326" s="869"/>
      <c r="AL326" s="869"/>
      <c r="AM326" s="869"/>
      <c r="AN326" s="869"/>
      <c r="AO326" s="869"/>
      <c r="AP326" s="869"/>
      <c r="AQ326" s="869"/>
      <c r="AR326" s="869"/>
      <c r="AS326" s="869"/>
      <c r="AT326" s="869"/>
      <c r="AU326" s="869"/>
      <c r="AV326" s="869"/>
      <c r="AW326" s="869"/>
      <c r="AX326" s="869"/>
    </row>
    <row r="327" spans="8:8" s="852" customFormat="1" customHeight="1">
      <c r="P327" s="859"/>
      <c r="Q327" s="859"/>
      <c r="R327" s="859"/>
      <c r="T327" s="859"/>
      <c r="AB327" s="859"/>
      <c r="AC327" s="859"/>
      <c r="AD327" s="859"/>
      <c r="AE327" s="869"/>
      <c r="AF327" s="869"/>
      <c r="AG327" s="869"/>
      <c r="AH327" s="869"/>
      <c r="AI327" s="869"/>
      <c r="AJ327" s="869"/>
      <c r="AK327" s="869"/>
      <c r="AL327" s="869"/>
      <c r="AM327" s="869"/>
      <c r="AN327" s="869"/>
      <c r="AO327" s="869"/>
      <c r="AP327" s="869"/>
      <c r="AQ327" s="869"/>
      <c r="AR327" s="869"/>
      <c r="AS327" s="869"/>
      <c r="AT327" s="869"/>
      <c r="AU327" s="869"/>
      <c r="AV327" s="869"/>
      <c r="AW327" s="869"/>
      <c r="AX327" s="869"/>
    </row>
    <row r="328" spans="8:8" s="852" customFormat="1" customHeight="1">
      <c r="P328" s="859"/>
      <c r="Q328" s="859"/>
      <c r="R328" s="859"/>
      <c r="T328" s="859"/>
      <c r="AB328" s="859"/>
      <c r="AC328" s="859"/>
      <c r="AD328" s="859"/>
      <c r="AE328" s="869"/>
      <c r="AF328" s="869"/>
      <c r="AG328" s="869"/>
      <c r="AH328" s="869"/>
      <c r="AI328" s="869"/>
      <c r="AJ328" s="869"/>
      <c r="AK328" s="869"/>
      <c r="AL328" s="869"/>
      <c r="AM328" s="869"/>
      <c r="AN328" s="869"/>
      <c r="AO328" s="869"/>
      <c r="AP328" s="869"/>
      <c r="AQ328" s="869"/>
      <c r="AR328" s="869"/>
      <c r="AS328" s="869"/>
      <c r="AT328" s="869"/>
      <c r="AU328" s="869"/>
      <c r="AV328" s="869"/>
      <c r="AW328" s="869"/>
      <c r="AX328" s="869"/>
    </row>
    <row r="329" spans="8:8" s="852" customFormat="1" customHeight="1">
      <c r="P329" s="859"/>
      <c r="Q329" s="859"/>
      <c r="R329" s="859"/>
      <c r="T329" s="859"/>
      <c r="AB329" s="859"/>
      <c r="AC329" s="859"/>
      <c r="AD329" s="859"/>
      <c r="AE329" s="869"/>
      <c r="AF329" s="869"/>
      <c r="AG329" s="869"/>
      <c r="AH329" s="869"/>
      <c r="AI329" s="869"/>
      <c r="AJ329" s="869"/>
      <c r="AK329" s="869"/>
      <c r="AL329" s="869"/>
      <c r="AM329" s="869"/>
      <c r="AN329" s="869"/>
      <c r="AO329" s="869"/>
      <c r="AP329" s="869"/>
      <c r="AQ329" s="869"/>
      <c r="AR329" s="869"/>
      <c r="AS329" s="869"/>
      <c r="AT329" s="869"/>
      <c r="AU329" s="869"/>
      <c r="AV329" s="869"/>
      <c r="AW329" s="869"/>
      <c r="AX329" s="869"/>
    </row>
    <row r="330" spans="8:8" s="852" customFormat="1" customHeight="1">
      <c r="P330" s="859"/>
      <c r="Q330" s="859"/>
      <c r="R330" s="859"/>
      <c r="T330" s="859"/>
      <c r="AB330" s="859"/>
      <c r="AC330" s="859"/>
      <c r="AD330" s="859"/>
      <c r="AE330" s="869"/>
      <c r="AF330" s="869"/>
      <c r="AG330" s="869"/>
      <c r="AH330" s="869"/>
      <c r="AI330" s="869"/>
      <c r="AJ330" s="869"/>
      <c r="AK330" s="869"/>
      <c r="AL330" s="869"/>
      <c r="AM330" s="869"/>
      <c r="AN330" s="869"/>
      <c r="AO330" s="869"/>
      <c r="AP330" s="869"/>
      <c r="AQ330" s="869"/>
      <c r="AR330" s="869"/>
      <c r="AS330" s="869"/>
      <c r="AT330" s="869"/>
      <c r="AU330" s="869"/>
      <c r="AV330" s="869"/>
      <c r="AW330" s="869"/>
      <c r="AX330" s="869"/>
    </row>
    <row r="331" spans="8:8" s="852" customFormat="1" customHeight="1">
      <c r="P331" s="859"/>
      <c r="Q331" s="859"/>
      <c r="R331" s="859"/>
      <c r="T331" s="859"/>
      <c r="AB331" s="859"/>
      <c r="AC331" s="859"/>
      <c r="AD331" s="859"/>
      <c r="AE331" s="869"/>
      <c r="AF331" s="869"/>
      <c r="AG331" s="869"/>
      <c r="AH331" s="869"/>
      <c r="AI331" s="869"/>
      <c r="AJ331" s="869"/>
      <c r="AK331" s="869"/>
      <c r="AL331" s="869"/>
      <c r="AM331" s="869"/>
      <c r="AN331" s="869"/>
      <c r="AO331" s="869"/>
      <c r="AP331" s="869"/>
      <c r="AQ331" s="869"/>
      <c r="AR331" s="869"/>
      <c r="AS331" s="869"/>
      <c r="AT331" s="869"/>
      <c r="AU331" s="869"/>
      <c r="AV331" s="869"/>
      <c r="AW331" s="869"/>
      <c r="AX331" s="869"/>
    </row>
    <row r="332" spans="8:8" s="852" customFormat="1" customHeight="1">
      <c r="P332" s="859"/>
      <c r="Q332" s="859"/>
      <c r="R332" s="859"/>
      <c r="T332" s="859"/>
      <c r="AB332" s="859"/>
      <c r="AC332" s="859"/>
      <c r="AD332" s="859"/>
      <c r="AE332" s="869"/>
      <c r="AF332" s="869"/>
      <c r="AG332" s="869"/>
      <c r="AH332" s="869"/>
      <c r="AI332" s="869"/>
      <c r="AJ332" s="869"/>
      <c r="AK332" s="869"/>
      <c r="AL332" s="869"/>
      <c r="AM332" s="869"/>
      <c r="AN332" s="869"/>
      <c r="AO332" s="869"/>
      <c r="AP332" s="869"/>
      <c r="AQ332" s="869"/>
      <c r="AR332" s="869"/>
      <c r="AS332" s="869"/>
      <c r="AT332" s="869"/>
      <c r="AU332" s="869"/>
      <c r="AV332" s="869"/>
      <c r="AW332" s="869"/>
      <c r="AX332" s="869"/>
    </row>
    <row r="333" spans="8:8" s="852" customFormat="1" customHeight="1">
      <c r="P333" s="859"/>
      <c r="Q333" s="859"/>
      <c r="R333" s="859"/>
      <c r="T333" s="859"/>
      <c r="AB333" s="859"/>
      <c r="AC333" s="859"/>
      <c r="AD333" s="859"/>
      <c r="AE333" s="869"/>
      <c r="AF333" s="869"/>
      <c r="AG333" s="869"/>
      <c r="AH333" s="869"/>
      <c r="AI333" s="869"/>
      <c r="AJ333" s="869"/>
      <c r="AK333" s="869"/>
      <c r="AL333" s="869"/>
      <c r="AM333" s="869"/>
      <c r="AN333" s="869"/>
      <c r="AO333" s="869"/>
      <c r="AP333" s="869"/>
      <c r="AQ333" s="869"/>
      <c r="AR333" s="869"/>
      <c r="AS333" s="869"/>
      <c r="AT333" s="869"/>
      <c r="AU333" s="869"/>
      <c r="AV333" s="869"/>
      <c r="AW333" s="869"/>
      <c r="AX333" s="869"/>
    </row>
    <row r="334" spans="8:8" s="852" customFormat="1" customHeight="1">
      <c r="P334" s="859"/>
      <c r="Q334" s="859"/>
      <c r="R334" s="859"/>
      <c r="T334" s="859"/>
      <c r="AB334" s="859"/>
      <c r="AC334" s="859"/>
      <c r="AD334" s="859"/>
      <c r="AE334" s="869"/>
      <c r="AF334" s="869"/>
      <c r="AG334" s="869"/>
      <c r="AH334" s="869"/>
      <c r="AI334" s="869"/>
      <c r="AJ334" s="869"/>
      <c r="AK334" s="869"/>
      <c r="AL334" s="869"/>
      <c r="AM334" s="869"/>
      <c r="AN334" s="869"/>
      <c r="AO334" s="869"/>
      <c r="AP334" s="869"/>
      <c r="AQ334" s="869"/>
      <c r="AR334" s="869"/>
      <c r="AS334" s="869"/>
      <c r="AT334" s="869"/>
      <c r="AU334" s="869"/>
      <c r="AV334" s="869"/>
      <c r="AW334" s="869"/>
      <c r="AX334" s="869"/>
    </row>
    <row r="335" spans="8:8" s="852" customFormat="1" customHeight="1">
      <c r="P335" s="859"/>
      <c r="Q335" s="859"/>
      <c r="R335" s="859"/>
      <c r="T335" s="859"/>
      <c r="AB335" s="859"/>
      <c r="AC335" s="859"/>
      <c r="AD335" s="859"/>
      <c r="AE335" s="869"/>
      <c r="AF335" s="869"/>
      <c r="AG335" s="869"/>
      <c r="AH335" s="869"/>
      <c r="AI335" s="869"/>
      <c r="AJ335" s="869"/>
      <c r="AK335" s="869"/>
      <c r="AL335" s="869"/>
      <c r="AM335" s="869"/>
      <c r="AN335" s="869"/>
      <c r="AO335" s="869"/>
      <c r="AP335" s="869"/>
      <c r="AQ335" s="869"/>
      <c r="AR335" s="869"/>
      <c r="AS335" s="869"/>
      <c r="AT335" s="869"/>
      <c r="AU335" s="869"/>
      <c r="AV335" s="869"/>
      <c r="AW335" s="869"/>
      <c r="AX335" s="869"/>
    </row>
    <row r="336" spans="8:8" s="852" customFormat="1" customHeight="1">
      <c r="P336" s="859"/>
      <c r="Q336" s="859"/>
      <c r="R336" s="859"/>
      <c r="T336" s="859"/>
      <c r="AB336" s="859"/>
      <c r="AC336" s="859"/>
      <c r="AD336" s="859"/>
      <c r="AE336" s="869"/>
      <c r="AF336" s="869"/>
      <c r="AG336" s="869"/>
      <c r="AH336" s="869"/>
      <c r="AI336" s="869"/>
      <c r="AJ336" s="869"/>
      <c r="AK336" s="869"/>
      <c r="AL336" s="869"/>
      <c r="AM336" s="869"/>
      <c r="AN336" s="869"/>
      <c r="AO336" s="869"/>
      <c r="AP336" s="869"/>
      <c r="AQ336" s="869"/>
      <c r="AR336" s="869"/>
      <c r="AS336" s="869"/>
      <c r="AT336" s="869"/>
      <c r="AU336" s="869"/>
      <c r="AV336" s="869"/>
      <c r="AW336" s="869"/>
      <c r="AX336" s="869"/>
    </row>
    <row r="337" spans="8:8" s="852" customFormat="1" customHeight="1">
      <c r="P337" s="859"/>
      <c r="Q337" s="859"/>
      <c r="R337" s="859"/>
      <c r="T337" s="859"/>
      <c r="AB337" s="859"/>
      <c r="AC337" s="859"/>
      <c r="AD337" s="859"/>
      <c r="AE337" s="869"/>
      <c r="AF337" s="869"/>
      <c r="AG337" s="869"/>
      <c r="AH337" s="869"/>
      <c r="AI337" s="869"/>
      <c r="AJ337" s="869"/>
      <c r="AK337" s="869"/>
      <c r="AL337" s="869"/>
      <c r="AM337" s="869"/>
      <c r="AN337" s="869"/>
      <c r="AO337" s="869"/>
      <c r="AP337" s="869"/>
      <c r="AQ337" s="869"/>
      <c r="AR337" s="869"/>
      <c r="AS337" s="869"/>
      <c r="AT337" s="869"/>
      <c r="AU337" s="869"/>
      <c r="AV337" s="869"/>
      <c r="AW337" s="869"/>
      <c r="AX337" s="869"/>
    </row>
    <row r="338" spans="8:8" s="852" customFormat="1" customHeight="1">
      <c r="P338" s="859"/>
      <c r="Q338" s="859"/>
      <c r="R338" s="859"/>
      <c r="T338" s="859"/>
      <c r="AB338" s="859"/>
      <c r="AC338" s="859"/>
      <c r="AD338" s="859"/>
      <c r="AE338" s="869"/>
      <c r="AF338" s="869"/>
      <c r="AG338" s="869"/>
      <c r="AH338" s="869"/>
      <c r="AI338" s="869"/>
      <c r="AJ338" s="869"/>
      <c r="AK338" s="869"/>
      <c r="AL338" s="869"/>
      <c r="AM338" s="869"/>
      <c r="AN338" s="869"/>
      <c r="AO338" s="869"/>
      <c r="AP338" s="869"/>
      <c r="AQ338" s="869"/>
      <c r="AR338" s="869"/>
      <c r="AS338" s="869"/>
      <c r="AT338" s="869"/>
      <c r="AU338" s="869"/>
      <c r="AV338" s="869"/>
      <c r="AW338" s="869"/>
      <c r="AX338" s="869"/>
    </row>
    <row r="339" spans="8:8" s="852" customFormat="1" customHeight="1">
      <c r="P339" s="859"/>
      <c r="Q339" s="859"/>
      <c r="R339" s="859"/>
      <c r="T339" s="859"/>
      <c r="AB339" s="859"/>
      <c r="AC339" s="859"/>
      <c r="AD339" s="859"/>
      <c r="AE339" s="869"/>
      <c r="AF339" s="869"/>
      <c r="AG339" s="869"/>
      <c r="AH339" s="869"/>
      <c r="AI339" s="869"/>
      <c r="AJ339" s="869"/>
      <c r="AK339" s="869"/>
      <c r="AL339" s="869"/>
      <c r="AM339" s="869"/>
      <c r="AN339" s="869"/>
      <c r="AO339" s="869"/>
      <c r="AP339" s="869"/>
      <c r="AQ339" s="869"/>
      <c r="AR339" s="869"/>
      <c r="AS339" s="869"/>
      <c r="AT339" s="869"/>
      <c r="AU339" s="869"/>
      <c r="AV339" s="869"/>
      <c r="AW339" s="869"/>
      <c r="AX339" s="869"/>
    </row>
    <row r="340" spans="8:8" s="852" customFormat="1" customHeight="1">
      <c r="P340" s="859"/>
      <c r="Q340" s="859"/>
      <c r="R340" s="859"/>
      <c r="T340" s="859"/>
      <c r="AB340" s="859"/>
      <c r="AC340" s="859"/>
      <c r="AD340" s="859"/>
      <c r="AE340" s="869"/>
      <c r="AF340" s="869"/>
      <c r="AG340" s="869"/>
      <c r="AH340" s="869"/>
      <c r="AI340" s="869"/>
      <c r="AJ340" s="869"/>
      <c r="AK340" s="869"/>
      <c r="AL340" s="869"/>
      <c r="AM340" s="869"/>
      <c r="AN340" s="869"/>
      <c r="AO340" s="869"/>
      <c r="AP340" s="869"/>
      <c r="AQ340" s="869"/>
      <c r="AR340" s="869"/>
      <c r="AS340" s="869"/>
      <c r="AT340" s="869"/>
      <c r="AU340" s="869"/>
      <c r="AV340" s="869"/>
      <c r="AW340" s="869"/>
      <c r="AX340" s="869"/>
    </row>
    <row r="341" spans="8:8" s="852" customFormat="1" customHeight="1">
      <c r="P341" s="859"/>
      <c r="Q341" s="859"/>
      <c r="R341" s="859"/>
      <c r="T341" s="859"/>
      <c r="AB341" s="859"/>
      <c r="AC341" s="859"/>
      <c r="AD341" s="859"/>
      <c r="AE341" s="869"/>
      <c r="AF341" s="869"/>
      <c r="AG341" s="869"/>
      <c r="AH341" s="869"/>
      <c r="AI341" s="869"/>
      <c r="AJ341" s="869"/>
      <c r="AK341" s="869"/>
      <c r="AL341" s="869"/>
      <c r="AM341" s="869"/>
      <c r="AN341" s="869"/>
      <c r="AO341" s="869"/>
      <c r="AP341" s="869"/>
      <c r="AQ341" s="869"/>
      <c r="AR341" s="869"/>
      <c r="AS341" s="869"/>
      <c r="AT341" s="869"/>
      <c r="AU341" s="869"/>
      <c r="AV341" s="869"/>
      <c r="AW341" s="869"/>
      <c r="AX341" s="869"/>
    </row>
    <row r="342" spans="8:8" s="852" customFormat="1" customHeight="1">
      <c r="P342" s="859"/>
      <c r="Q342" s="859"/>
      <c r="R342" s="859"/>
      <c r="T342" s="859"/>
      <c r="AB342" s="859"/>
      <c r="AC342" s="859"/>
      <c r="AD342" s="859"/>
      <c r="AE342" s="869"/>
      <c r="AF342" s="869"/>
      <c r="AG342" s="869"/>
      <c r="AH342" s="869"/>
      <c r="AI342" s="869"/>
      <c r="AJ342" s="869"/>
      <c r="AK342" s="869"/>
      <c r="AL342" s="869"/>
      <c r="AM342" s="869"/>
      <c r="AN342" s="869"/>
      <c r="AO342" s="869"/>
      <c r="AP342" s="869"/>
      <c r="AQ342" s="869"/>
      <c r="AR342" s="869"/>
      <c r="AS342" s="869"/>
      <c r="AT342" s="869"/>
      <c r="AU342" s="869"/>
      <c r="AV342" s="869"/>
      <c r="AW342" s="869"/>
      <c r="AX342" s="869"/>
    </row>
    <row r="343" spans="8:8" s="852" customFormat="1" customHeight="1">
      <c r="P343" s="859"/>
      <c r="Q343" s="859"/>
      <c r="R343" s="859"/>
      <c r="T343" s="859"/>
      <c r="AB343" s="859"/>
      <c r="AC343" s="859"/>
      <c r="AD343" s="859"/>
      <c r="AE343" s="869"/>
      <c r="AF343" s="869"/>
      <c r="AG343" s="869"/>
      <c r="AH343" s="869"/>
      <c r="AI343" s="869"/>
      <c r="AJ343" s="869"/>
      <c r="AK343" s="869"/>
      <c r="AL343" s="869"/>
      <c r="AM343" s="869"/>
      <c r="AN343" s="869"/>
      <c r="AO343" s="869"/>
      <c r="AP343" s="869"/>
      <c r="AQ343" s="869"/>
      <c r="AR343" s="869"/>
      <c r="AS343" s="869"/>
      <c r="AT343" s="869"/>
      <c r="AU343" s="869"/>
      <c r="AV343" s="869"/>
      <c r="AW343" s="869"/>
      <c r="AX343" s="869"/>
    </row>
    <row r="344" spans="8:8" s="852" customFormat="1" customHeight="1">
      <c r="P344" s="859"/>
      <c r="Q344" s="859"/>
      <c r="R344" s="859"/>
      <c r="T344" s="859"/>
      <c r="AB344" s="859"/>
      <c r="AC344" s="859"/>
      <c r="AD344" s="859"/>
      <c r="AE344" s="869"/>
      <c r="AF344" s="869"/>
      <c r="AG344" s="869"/>
      <c r="AH344" s="869"/>
      <c r="AI344" s="869"/>
      <c r="AJ344" s="869"/>
      <c r="AK344" s="869"/>
      <c r="AL344" s="869"/>
      <c r="AM344" s="869"/>
      <c r="AN344" s="869"/>
      <c r="AO344" s="869"/>
      <c r="AP344" s="869"/>
      <c r="AQ344" s="869"/>
      <c r="AR344" s="869"/>
      <c r="AS344" s="869"/>
      <c r="AT344" s="869"/>
      <c r="AU344" s="869"/>
      <c r="AV344" s="869"/>
      <c r="AW344" s="869"/>
      <c r="AX344" s="869"/>
    </row>
    <row r="345" spans="8:8" s="852" customFormat="1" customHeight="1">
      <c r="P345" s="859"/>
      <c r="Q345" s="859"/>
      <c r="R345" s="859"/>
      <c r="T345" s="859"/>
      <c r="AB345" s="859"/>
      <c r="AC345" s="859"/>
      <c r="AD345" s="859"/>
      <c r="AE345" s="869"/>
      <c r="AF345" s="869"/>
      <c r="AG345" s="869"/>
      <c r="AH345" s="869"/>
      <c r="AI345" s="869"/>
      <c r="AJ345" s="869"/>
      <c r="AK345" s="869"/>
      <c r="AL345" s="869"/>
      <c r="AM345" s="869"/>
      <c r="AN345" s="869"/>
      <c r="AO345" s="869"/>
      <c r="AP345" s="869"/>
      <c r="AQ345" s="869"/>
      <c r="AR345" s="869"/>
      <c r="AS345" s="869"/>
      <c r="AT345" s="869"/>
      <c r="AU345" s="869"/>
      <c r="AV345" s="869"/>
      <c r="AW345" s="869"/>
      <c r="AX345" s="869"/>
    </row>
    <row r="346" spans="8:8" s="852" customFormat="1" customHeight="1">
      <c r="P346" s="859"/>
      <c r="Q346" s="859"/>
      <c r="R346" s="859"/>
      <c r="T346" s="859"/>
      <c r="AB346" s="859"/>
      <c r="AC346" s="859"/>
      <c r="AD346" s="859"/>
      <c r="AE346" s="869"/>
      <c r="AF346" s="869"/>
      <c r="AG346" s="869"/>
      <c r="AH346" s="869"/>
      <c r="AI346" s="869"/>
      <c r="AJ346" s="869"/>
      <c r="AK346" s="869"/>
      <c r="AL346" s="869"/>
      <c r="AM346" s="869"/>
      <c r="AN346" s="869"/>
      <c r="AO346" s="869"/>
      <c r="AP346" s="869"/>
      <c r="AQ346" s="869"/>
      <c r="AR346" s="869"/>
      <c r="AS346" s="869"/>
      <c r="AT346" s="869"/>
      <c r="AU346" s="869"/>
      <c r="AV346" s="869"/>
      <c r="AW346" s="869"/>
      <c r="AX346" s="869"/>
    </row>
    <row r="347" spans="8:8" s="852" customFormat="1" customHeight="1">
      <c r="P347" s="859"/>
      <c r="Q347" s="859"/>
      <c r="R347" s="859"/>
      <c r="T347" s="859"/>
      <c r="AB347" s="859"/>
      <c r="AC347" s="859"/>
      <c r="AD347" s="859"/>
      <c r="AE347" s="869"/>
      <c r="AF347" s="869"/>
      <c r="AG347" s="869"/>
      <c r="AH347" s="869"/>
      <c r="AI347" s="869"/>
      <c r="AJ347" s="869"/>
      <c r="AK347" s="869"/>
      <c r="AL347" s="869"/>
      <c r="AM347" s="869"/>
      <c r="AN347" s="869"/>
      <c r="AO347" s="869"/>
      <c r="AP347" s="869"/>
      <c r="AQ347" s="869"/>
      <c r="AR347" s="869"/>
      <c r="AS347" s="869"/>
      <c r="AT347" s="869"/>
      <c r="AU347" s="869"/>
      <c r="AV347" s="869"/>
      <c r="AW347" s="869"/>
      <c r="AX347" s="869"/>
    </row>
    <row r="348" spans="8:8" s="852" customFormat="1" customHeight="1">
      <c r="P348" s="859"/>
      <c r="Q348" s="859"/>
      <c r="R348" s="859"/>
      <c r="T348" s="859"/>
      <c r="AB348" s="859"/>
      <c r="AC348" s="859"/>
      <c r="AD348" s="859"/>
      <c r="AE348" s="869"/>
      <c r="AF348" s="869"/>
      <c r="AG348" s="869"/>
      <c r="AH348" s="869"/>
      <c r="AI348" s="869"/>
      <c r="AJ348" s="869"/>
      <c r="AK348" s="869"/>
      <c r="AL348" s="869"/>
      <c r="AM348" s="869"/>
      <c r="AN348" s="869"/>
      <c r="AO348" s="869"/>
      <c r="AP348" s="869"/>
      <c r="AQ348" s="869"/>
      <c r="AR348" s="869"/>
      <c r="AS348" s="869"/>
      <c r="AT348" s="869"/>
      <c r="AU348" s="869"/>
      <c r="AV348" s="869"/>
      <c r="AW348" s="869"/>
      <c r="AX348" s="869"/>
    </row>
    <row r="349" spans="8:8" s="852" customFormat="1" customHeight="1">
      <c r="P349" s="859"/>
      <c r="Q349" s="859"/>
      <c r="R349" s="859"/>
      <c r="T349" s="859"/>
      <c r="AB349" s="859"/>
      <c r="AC349" s="859"/>
      <c r="AD349" s="859"/>
      <c r="AE349" s="869"/>
      <c r="AF349" s="869"/>
      <c r="AG349" s="869"/>
      <c r="AH349" s="869"/>
      <c r="AI349" s="869"/>
      <c r="AJ349" s="869"/>
      <c r="AK349" s="869"/>
      <c r="AL349" s="869"/>
      <c r="AM349" s="869"/>
      <c r="AN349" s="869"/>
      <c r="AO349" s="869"/>
      <c r="AP349" s="869"/>
      <c r="AQ349" s="869"/>
      <c r="AR349" s="869"/>
      <c r="AS349" s="869"/>
      <c r="AT349" s="869"/>
      <c r="AU349" s="869"/>
      <c r="AV349" s="869"/>
      <c r="AW349" s="869"/>
      <c r="AX349" s="869"/>
    </row>
    <row r="350" spans="8:8" s="852" customFormat="1" customHeight="1">
      <c r="P350" s="859"/>
      <c r="Q350" s="859"/>
      <c r="R350" s="859"/>
      <c r="T350" s="859"/>
      <c r="AB350" s="859"/>
      <c r="AC350" s="859"/>
      <c r="AD350" s="859"/>
      <c r="AE350" s="869"/>
      <c r="AF350" s="869"/>
      <c r="AG350" s="869"/>
      <c r="AH350" s="869"/>
      <c r="AI350" s="869"/>
      <c r="AJ350" s="869"/>
      <c r="AK350" s="869"/>
      <c r="AL350" s="869"/>
      <c r="AM350" s="869"/>
      <c r="AN350" s="869"/>
      <c r="AO350" s="869"/>
      <c r="AP350" s="869"/>
      <c r="AQ350" s="869"/>
      <c r="AR350" s="869"/>
      <c r="AS350" s="869"/>
      <c r="AT350" s="869"/>
      <c r="AU350" s="869"/>
      <c r="AV350" s="869"/>
      <c r="AW350" s="869"/>
      <c r="AX350" s="869"/>
    </row>
    <row r="351" spans="8:8" s="852" customFormat="1" customHeight="1">
      <c r="P351" s="859"/>
      <c r="Q351" s="859"/>
      <c r="R351" s="859"/>
      <c r="T351" s="859"/>
      <c r="AB351" s="859"/>
      <c r="AC351" s="859"/>
      <c r="AD351" s="859"/>
      <c r="AE351" s="869"/>
      <c r="AF351" s="869"/>
      <c r="AG351" s="869"/>
      <c r="AH351" s="869"/>
      <c r="AI351" s="869"/>
      <c r="AJ351" s="869"/>
      <c r="AK351" s="869"/>
      <c r="AL351" s="869"/>
      <c r="AM351" s="869"/>
      <c r="AN351" s="869"/>
      <c r="AO351" s="869"/>
      <c r="AP351" s="869"/>
      <c r="AQ351" s="869"/>
      <c r="AR351" s="869"/>
      <c r="AS351" s="869"/>
      <c r="AT351" s="869"/>
      <c r="AU351" s="869"/>
      <c r="AV351" s="869"/>
      <c r="AW351" s="869"/>
      <c r="AX351" s="869"/>
    </row>
    <row r="352" spans="8:8" s="852" customFormat="1" customHeight="1">
      <c r="P352" s="859"/>
      <c r="Q352" s="859"/>
      <c r="R352" s="859"/>
      <c r="T352" s="859"/>
      <c r="AB352" s="859"/>
      <c r="AC352" s="859"/>
      <c r="AD352" s="859"/>
      <c r="AE352" s="869"/>
      <c r="AF352" s="869"/>
      <c r="AG352" s="869"/>
      <c r="AH352" s="869"/>
      <c r="AI352" s="869"/>
      <c r="AJ352" s="869"/>
      <c r="AK352" s="869"/>
      <c r="AL352" s="869"/>
      <c r="AM352" s="869"/>
      <c r="AN352" s="869"/>
      <c r="AO352" s="869"/>
      <c r="AP352" s="869"/>
      <c r="AQ352" s="869"/>
      <c r="AR352" s="869"/>
      <c r="AS352" s="869"/>
      <c r="AT352" s="869"/>
      <c r="AU352" s="869"/>
      <c r="AV352" s="869"/>
      <c r="AW352" s="869"/>
      <c r="AX352" s="869"/>
    </row>
    <row r="353" spans="8:8" s="852" customFormat="1" customHeight="1">
      <c r="P353" s="859"/>
      <c r="Q353" s="859"/>
      <c r="R353" s="859"/>
      <c r="T353" s="859"/>
      <c r="AB353" s="859"/>
      <c r="AC353" s="859"/>
      <c r="AD353" s="859"/>
      <c r="AE353" s="869"/>
      <c r="AF353" s="869"/>
      <c r="AG353" s="869"/>
      <c r="AH353" s="869"/>
      <c r="AI353" s="869"/>
      <c r="AJ353" s="869"/>
      <c r="AK353" s="869"/>
      <c r="AL353" s="869"/>
      <c r="AM353" s="869"/>
      <c r="AN353" s="869"/>
      <c r="AO353" s="869"/>
      <c r="AP353" s="869"/>
      <c r="AQ353" s="869"/>
      <c r="AR353" s="869"/>
      <c r="AS353" s="869"/>
      <c r="AT353" s="869"/>
      <c r="AU353" s="869"/>
      <c r="AV353" s="869"/>
      <c r="AW353" s="869"/>
      <c r="AX353" s="869"/>
    </row>
    <row r="354" spans="8:8" s="852" customFormat="1" customHeight="1">
      <c r="P354" s="859"/>
      <c r="Q354" s="859"/>
      <c r="R354" s="859"/>
      <c r="T354" s="859"/>
      <c r="AB354" s="859"/>
      <c r="AC354" s="859"/>
      <c r="AD354" s="859"/>
      <c r="AE354" s="869"/>
      <c r="AF354" s="869"/>
      <c r="AG354" s="869"/>
      <c r="AH354" s="869"/>
      <c r="AI354" s="869"/>
      <c r="AJ354" s="869"/>
      <c r="AK354" s="869"/>
      <c r="AL354" s="869"/>
      <c r="AM354" s="869"/>
      <c r="AN354" s="869"/>
      <c r="AO354" s="869"/>
      <c r="AP354" s="869"/>
      <c r="AQ354" s="869"/>
      <c r="AR354" s="869"/>
      <c r="AS354" s="869"/>
      <c r="AT354" s="869"/>
      <c r="AU354" s="869"/>
      <c r="AV354" s="869"/>
      <c r="AW354" s="869"/>
      <c r="AX354" s="869"/>
    </row>
    <row r="355" spans="8:8" s="852" customFormat="1" customHeight="1">
      <c r="P355" s="859"/>
      <c r="Q355" s="859"/>
      <c r="R355" s="859"/>
      <c r="T355" s="859"/>
      <c r="AB355" s="859"/>
      <c r="AC355" s="859"/>
      <c r="AD355" s="859"/>
      <c r="AE355" s="869"/>
      <c r="AF355" s="869"/>
      <c r="AG355" s="869"/>
      <c r="AH355" s="869"/>
      <c r="AI355" s="869"/>
      <c r="AJ355" s="869"/>
      <c r="AK355" s="869"/>
      <c r="AL355" s="869"/>
      <c r="AM355" s="869"/>
      <c r="AN355" s="869"/>
      <c r="AO355" s="869"/>
      <c r="AP355" s="869"/>
      <c r="AQ355" s="869"/>
      <c r="AR355" s="869"/>
      <c r="AS355" s="869"/>
      <c r="AT355" s="869"/>
      <c r="AU355" s="869"/>
      <c r="AV355" s="869"/>
      <c r="AW355" s="869"/>
      <c r="AX355" s="869"/>
    </row>
    <row r="356" spans="8:8" s="852" customFormat="1" customHeight="1">
      <c r="P356" s="859"/>
      <c r="Q356" s="859"/>
      <c r="R356" s="859"/>
      <c r="T356" s="859"/>
      <c r="AB356" s="859"/>
      <c r="AC356" s="859"/>
      <c r="AD356" s="859"/>
      <c r="AE356" s="869"/>
      <c r="AF356" s="869"/>
      <c r="AG356" s="869"/>
      <c r="AH356" s="869"/>
      <c r="AI356" s="869"/>
      <c r="AJ356" s="869"/>
      <c r="AK356" s="869"/>
      <c r="AL356" s="869"/>
      <c r="AM356" s="869"/>
      <c r="AN356" s="869"/>
      <c r="AO356" s="869"/>
      <c r="AP356" s="869"/>
      <c r="AQ356" s="869"/>
      <c r="AR356" s="869"/>
      <c r="AS356" s="869"/>
      <c r="AT356" s="869"/>
      <c r="AU356" s="869"/>
      <c r="AV356" s="869"/>
      <c r="AW356" s="869"/>
      <c r="AX356" s="869"/>
    </row>
    <row r="357" spans="8:8" s="852" customFormat="1" customHeight="1">
      <c r="P357" s="859"/>
      <c r="Q357" s="859"/>
      <c r="R357" s="859"/>
      <c r="T357" s="859"/>
      <c r="AB357" s="859"/>
      <c r="AC357" s="859"/>
      <c r="AD357" s="859"/>
      <c r="AE357" s="869"/>
      <c r="AF357" s="869"/>
      <c r="AG357" s="869"/>
      <c r="AH357" s="869"/>
      <c r="AI357" s="869"/>
      <c r="AJ357" s="869"/>
      <c r="AK357" s="869"/>
      <c r="AL357" s="869"/>
      <c r="AM357" s="869"/>
      <c r="AN357" s="869"/>
      <c r="AO357" s="869"/>
      <c r="AP357" s="869"/>
      <c r="AQ357" s="869"/>
      <c r="AR357" s="869"/>
      <c r="AS357" s="869"/>
      <c r="AT357" s="869"/>
      <c r="AU357" s="869"/>
      <c r="AV357" s="869"/>
      <c r="AW357" s="869"/>
      <c r="AX357" s="869"/>
    </row>
    <row r="358" spans="8:8" s="852" customFormat="1" customHeight="1">
      <c r="P358" s="859"/>
      <c r="Q358" s="859"/>
      <c r="R358" s="859"/>
      <c r="T358" s="859"/>
      <c r="AB358" s="859"/>
      <c r="AC358" s="859"/>
      <c r="AD358" s="859"/>
      <c r="AE358" s="869"/>
      <c r="AF358" s="869"/>
      <c r="AG358" s="869"/>
      <c r="AH358" s="869"/>
      <c r="AI358" s="869"/>
      <c r="AJ358" s="869"/>
      <c r="AK358" s="869"/>
      <c r="AL358" s="869"/>
      <c r="AM358" s="869"/>
      <c r="AN358" s="869"/>
      <c r="AO358" s="869"/>
      <c r="AP358" s="869"/>
      <c r="AQ358" s="869"/>
      <c r="AR358" s="869"/>
      <c r="AS358" s="869"/>
      <c r="AT358" s="869"/>
      <c r="AU358" s="869"/>
      <c r="AV358" s="869"/>
      <c r="AW358" s="869"/>
      <c r="AX358" s="869"/>
    </row>
    <row r="359" spans="8:8" s="852" customFormat="1" customHeight="1">
      <c r="P359" s="859"/>
      <c r="Q359" s="859"/>
      <c r="R359" s="859"/>
      <c r="T359" s="859"/>
      <c r="AB359" s="859"/>
      <c r="AC359" s="859"/>
      <c r="AD359" s="859"/>
      <c r="AE359" s="869"/>
      <c r="AF359" s="869"/>
      <c r="AG359" s="869"/>
      <c r="AH359" s="869"/>
      <c r="AI359" s="869"/>
      <c r="AJ359" s="869"/>
      <c r="AK359" s="869"/>
      <c r="AL359" s="869"/>
      <c r="AM359" s="869"/>
      <c r="AN359" s="869"/>
      <c r="AO359" s="869"/>
      <c r="AP359" s="869"/>
      <c r="AQ359" s="869"/>
      <c r="AR359" s="869"/>
      <c r="AS359" s="869"/>
      <c r="AT359" s="869"/>
      <c r="AU359" s="869"/>
      <c r="AV359" s="869"/>
      <c r="AW359" s="869"/>
      <c r="AX359" s="869"/>
    </row>
    <row r="360" spans="8:8" s="852" customFormat="1" customHeight="1">
      <c r="P360" s="859"/>
      <c r="Q360" s="859"/>
      <c r="R360" s="859"/>
      <c r="T360" s="859"/>
      <c r="AB360" s="859"/>
      <c r="AC360" s="859"/>
      <c r="AD360" s="859"/>
      <c r="AE360" s="869"/>
      <c r="AF360" s="869"/>
      <c r="AG360" s="869"/>
      <c r="AH360" s="869"/>
      <c r="AI360" s="869"/>
      <c r="AJ360" s="869"/>
      <c r="AK360" s="869"/>
      <c r="AL360" s="869"/>
      <c r="AM360" s="869"/>
      <c r="AN360" s="869"/>
      <c r="AO360" s="869"/>
      <c r="AP360" s="869"/>
      <c r="AQ360" s="869"/>
      <c r="AR360" s="869"/>
      <c r="AS360" s="869"/>
      <c r="AT360" s="869"/>
      <c r="AU360" s="869"/>
      <c r="AV360" s="869"/>
      <c r="AW360" s="869"/>
      <c r="AX360" s="869"/>
    </row>
    <row r="361" spans="8:8" s="852" customFormat="1" customHeight="1">
      <c r="P361" s="859"/>
      <c r="Q361" s="859"/>
      <c r="R361" s="859"/>
      <c r="T361" s="859"/>
      <c r="AB361" s="859"/>
      <c r="AC361" s="859"/>
      <c r="AD361" s="859"/>
      <c r="AE361" s="869"/>
      <c r="AF361" s="869"/>
      <c r="AG361" s="869"/>
      <c r="AH361" s="869"/>
      <c r="AI361" s="869"/>
      <c r="AJ361" s="869"/>
      <c r="AK361" s="869"/>
      <c r="AL361" s="869"/>
      <c r="AM361" s="869"/>
      <c r="AN361" s="869"/>
      <c r="AO361" s="869"/>
      <c r="AP361" s="869"/>
      <c r="AQ361" s="869"/>
      <c r="AR361" s="869"/>
      <c r="AS361" s="869"/>
      <c r="AT361" s="869"/>
      <c r="AU361" s="869"/>
      <c r="AV361" s="869"/>
      <c r="AW361" s="869"/>
      <c r="AX361" s="869"/>
    </row>
    <row r="362" spans="8:8" s="852" customFormat="1" customHeight="1">
      <c r="P362" s="859"/>
      <c r="Q362" s="859"/>
      <c r="R362" s="859"/>
      <c r="T362" s="859"/>
      <c r="U362" s="859"/>
      <c r="Z362" s="859"/>
      <c r="AA362" s="859"/>
      <c r="AB362" s="859"/>
      <c r="AC362" s="859"/>
      <c r="AD362" s="859"/>
      <c r="AE362" s="869"/>
      <c r="AF362" s="869"/>
      <c r="AG362" s="869"/>
      <c r="AH362" s="869"/>
      <c r="AI362" s="869"/>
      <c r="AJ362" s="869"/>
      <c r="AK362" s="869"/>
      <c r="AL362" s="869"/>
      <c r="AM362" s="869"/>
      <c r="AN362" s="869"/>
      <c r="AO362" s="869"/>
      <c r="AP362" s="869"/>
      <c r="AQ362" s="869"/>
      <c r="AR362" s="869"/>
      <c r="AS362" s="869"/>
      <c r="AT362" s="869"/>
      <c r="AU362" s="869"/>
      <c r="AV362" s="869"/>
      <c r="AW362" s="869"/>
      <c r="AX362" s="869"/>
    </row>
    <row r="363" spans="8:8" s="852" customFormat="1" customHeight="1">
      <c r="P363" s="859"/>
      <c r="Q363" s="859"/>
      <c r="R363" s="859"/>
      <c r="T363" s="859"/>
      <c r="U363" s="859"/>
      <c r="X363" s="859"/>
      <c r="Y363" s="859"/>
      <c r="Z363" s="859"/>
      <c r="AA363" s="859"/>
      <c r="AB363" s="859"/>
      <c r="AC363" s="859"/>
      <c r="AD363" s="859"/>
      <c r="AE363" s="869"/>
      <c r="AF363" s="869"/>
      <c r="AG363" s="869"/>
      <c r="AH363" s="869"/>
      <c r="AI363" s="869"/>
      <c r="AJ363" s="869"/>
      <c r="AK363" s="869"/>
      <c r="AL363" s="869"/>
      <c r="AM363" s="869"/>
      <c r="AN363" s="869"/>
      <c r="AO363" s="869"/>
      <c r="AP363" s="869"/>
      <c r="AQ363" s="869"/>
      <c r="AR363" s="869"/>
      <c r="AS363" s="869"/>
      <c r="AT363" s="869"/>
      <c r="AU363" s="869"/>
      <c r="AV363" s="869"/>
      <c r="AW363" s="869"/>
      <c r="AX363" s="869"/>
    </row>
    <row r="364" spans="8:8" s="852" customFormat="1" customHeight="1">
      <c r="P364" s="859"/>
      <c r="Q364" s="859"/>
      <c r="R364" s="859"/>
      <c r="T364" s="859"/>
      <c r="U364" s="859"/>
      <c r="X364" s="859"/>
      <c r="Y364" s="859"/>
      <c r="Z364" s="859"/>
      <c r="AA364" s="859"/>
      <c r="AB364" s="859"/>
      <c r="AC364" s="859"/>
      <c r="AD364" s="859"/>
      <c r="AE364" s="869"/>
      <c r="AF364" s="869"/>
      <c r="AG364" s="869"/>
      <c r="AH364" s="869"/>
      <c r="AI364" s="869"/>
      <c r="AJ364" s="869"/>
      <c r="AK364" s="869"/>
      <c r="AL364" s="869"/>
      <c r="AM364" s="869"/>
      <c r="AN364" s="869"/>
      <c r="AO364" s="869"/>
      <c r="AP364" s="869"/>
      <c r="AQ364" s="869"/>
      <c r="AR364" s="869"/>
      <c r="AS364" s="869"/>
      <c r="AT364" s="869"/>
      <c r="AU364" s="869"/>
      <c r="AV364" s="869"/>
      <c r="AW364" s="869"/>
      <c r="AX364" s="869"/>
    </row>
    <row r="365" spans="8:8" s="852" customFormat="1" customHeight="1">
      <c r="P365" s="859"/>
      <c r="Q365" s="859"/>
      <c r="R365" s="859"/>
      <c r="T365" s="859"/>
      <c r="U365" s="859"/>
      <c r="X365" s="859"/>
      <c r="Y365" s="859"/>
      <c r="Z365" s="859"/>
      <c r="AA365" s="859"/>
      <c r="AB365" s="859"/>
      <c r="AC365" s="859"/>
      <c r="AD365" s="859"/>
      <c r="AE365" s="869"/>
      <c r="AF365" s="869"/>
      <c r="AG365" s="869"/>
      <c r="AH365" s="869"/>
      <c r="AI365" s="869"/>
      <c r="AJ365" s="869"/>
      <c r="AK365" s="869"/>
      <c r="AL365" s="869"/>
      <c r="AM365" s="869"/>
      <c r="AN365" s="869"/>
      <c r="AO365" s="869"/>
      <c r="AP365" s="869"/>
      <c r="AQ365" s="869"/>
      <c r="AR365" s="869"/>
      <c r="AS365" s="869"/>
      <c r="AT365" s="869"/>
      <c r="AU365" s="869"/>
      <c r="AV365" s="869"/>
      <c r="AW365" s="869"/>
      <c r="AX365" s="869"/>
    </row>
    <row r="366" spans="8:8" s="852" customFormat="1" customHeight="1">
      <c r="P366" s="859"/>
      <c r="Q366" s="859"/>
      <c r="R366" s="859"/>
      <c r="T366" s="859"/>
      <c r="U366" s="859"/>
      <c r="X366" s="859"/>
      <c r="Y366" s="859"/>
      <c r="Z366" s="859"/>
      <c r="AA366" s="859"/>
      <c r="AB366" s="859"/>
      <c r="AC366" s="859"/>
      <c r="AD366" s="859"/>
      <c r="AE366" s="869"/>
      <c r="AF366" s="869"/>
      <c r="AG366" s="869"/>
      <c r="AH366" s="869"/>
      <c r="AI366" s="869"/>
      <c r="AJ366" s="869"/>
      <c r="AK366" s="869"/>
      <c r="AL366" s="869"/>
      <c r="AM366" s="869"/>
      <c r="AN366" s="869"/>
      <c r="AO366" s="869"/>
      <c r="AP366" s="869"/>
      <c r="AQ366" s="869"/>
      <c r="AR366" s="869"/>
      <c r="AS366" s="869"/>
      <c r="AT366" s="869"/>
      <c r="AU366" s="869"/>
      <c r="AV366" s="869"/>
      <c r="AW366" s="869"/>
      <c r="AX366" s="869"/>
    </row>
    <row r="367" spans="8:8" s="852" customFormat="1" customHeight="1">
      <c r="P367" s="859"/>
      <c r="Q367" s="859"/>
      <c r="R367" s="859"/>
      <c r="T367" s="859"/>
      <c r="U367" s="859"/>
      <c r="X367" s="859"/>
      <c r="Y367" s="859"/>
      <c r="Z367" s="859"/>
      <c r="AA367" s="859"/>
      <c r="AB367" s="859"/>
      <c r="AC367" s="859"/>
      <c r="AD367" s="859"/>
      <c r="AE367" s="869"/>
      <c r="AF367" s="869"/>
      <c r="AG367" s="869"/>
      <c r="AH367" s="869"/>
      <c r="AI367" s="869"/>
      <c r="AJ367" s="869"/>
      <c r="AK367" s="869"/>
      <c r="AL367" s="869"/>
      <c r="AM367" s="869"/>
      <c r="AN367" s="869"/>
      <c r="AO367" s="869"/>
      <c r="AP367" s="869"/>
      <c r="AQ367" s="869"/>
      <c r="AR367" s="869"/>
      <c r="AS367" s="869"/>
      <c r="AT367" s="869"/>
      <c r="AU367" s="869"/>
      <c r="AV367" s="869"/>
      <c r="AW367" s="869"/>
      <c r="AX367" s="869"/>
    </row>
    <row r="368" spans="8:8" s="852" customFormat="1" customHeight="1">
      <c r="P368" s="859"/>
      <c r="Q368" s="859"/>
      <c r="R368" s="859"/>
      <c r="T368" s="859"/>
      <c r="U368" s="859"/>
      <c r="X368" s="859"/>
      <c r="Y368" s="859"/>
      <c r="Z368" s="859"/>
      <c r="AA368" s="859"/>
      <c r="AB368" s="859"/>
      <c r="AC368" s="859"/>
      <c r="AD368" s="859"/>
      <c r="AE368" s="869"/>
      <c r="AF368" s="869"/>
      <c r="AG368" s="869"/>
      <c r="AH368" s="869"/>
      <c r="AI368" s="869"/>
      <c r="AJ368" s="869"/>
      <c r="AK368" s="869"/>
      <c r="AL368" s="869"/>
      <c r="AM368" s="869"/>
      <c r="AN368" s="869"/>
      <c r="AO368" s="869"/>
      <c r="AP368" s="869"/>
      <c r="AQ368" s="869"/>
      <c r="AR368" s="869"/>
      <c r="AS368" s="869"/>
      <c r="AT368" s="869"/>
      <c r="AU368" s="869"/>
      <c r="AV368" s="869"/>
      <c r="AW368" s="869"/>
      <c r="AX368" s="869"/>
    </row>
    <row r="369" spans="8:8" customHeight="1">
      <c r="P369" s="859"/>
      <c r="Q369" s="859"/>
      <c r="R369" s="859"/>
      <c r="T369" s="859"/>
      <c r="U369" s="859"/>
      <c r="X369" s="859"/>
      <c r="Y369" s="859"/>
      <c r="Z369" s="859"/>
      <c r="AA369" s="859"/>
      <c r="AB369" s="859"/>
      <c r="AC369" s="859"/>
      <c r="AD369" s="859"/>
      <c r="AE369" s="869"/>
      <c r="AF369" s="869"/>
      <c r="AG369" s="869"/>
      <c r="AH369" s="869"/>
      <c r="AI369" s="869"/>
      <c r="AJ369" s="869"/>
      <c r="AK369" s="869"/>
      <c r="AL369" s="869"/>
      <c r="AM369" s="869"/>
      <c r="AN369" s="869"/>
      <c r="AO369" s="869"/>
      <c r="AP369" s="869"/>
      <c r="AQ369" s="869"/>
      <c r="AR369" s="869"/>
      <c r="AS369" s="869"/>
      <c r="AT369" s="869"/>
      <c r="AU369" s="869"/>
      <c r="AV369" s="869"/>
      <c r="AW369" s="869"/>
      <c r="AX369" s="869"/>
    </row>
    <row r="370" spans="8:8" customHeight="1">
      <c r="E370" s="975"/>
      <c r="F370" s="859"/>
      <c r="G370" s="859"/>
      <c r="H370" s="859"/>
      <c r="I370" s="859"/>
      <c r="J370" s="859"/>
      <c r="K370" s="859"/>
      <c r="L370" s="859"/>
      <c r="M370" s="859"/>
      <c r="N370" s="859"/>
      <c r="O370" s="859"/>
      <c r="P370" s="859"/>
      <c r="Q370" s="859"/>
      <c r="R370" s="859"/>
      <c r="S370" s="859"/>
      <c r="T370" s="859"/>
      <c r="U370" s="859"/>
      <c r="X370" s="859"/>
      <c r="Y370" s="859"/>
      <c r="Z370" s="859"/>
      <c r="AA370" s="859"/>
      <c r="AB370" s="859"/>
      <c r="AC370" s="859"/>
      <c r="AD370" s="859"/>
      <c r="AE370" s="869"/>
      <c r="AF370" s="869"/>
      <c r="AG370" s="869"/>
      <c r="AH370" s="869"/>
      <c r="AI370" s="869"/>
      <c r="AJ370" s="869"/>
      <c r="AK370" s="869"/>
      <c r="AL370" s="869"/>
      <c r="AM370" s="869"/>
      <c r="AN370" s="869"/>
      <c r="AO370" s="869"/>
      <c r="AP370" s="869"/>
      <c r="AQ370" s="869"/>
      <c r="AR370" s="869"/>
      <c r="AS370" s="869"/>
      <c r="AT370" s="869"/>
      <c r="AU370" s="869"/>
      <c r="AV370" s="869"/>
      <c r="AW370" s="869"/>
      <c r="AX370" s="869"/>
    </row>
    <row r="371" spans="8:8" customHeight="1">
      <c r="E371" s="975"/>
      <c r="F371" s="859"/>
      <c r="G371" s="859"/>
      <c r="H371" s="859"/>
      <c r="I371" s="859"/>
      <c r="J371" s="859"/>
      <c r="K371" s="859"/>
      <c r="L371" s="859"/>
      <c r="M371" s="859"/>
      <c r="N371" s="859"/>
      <c r="O371" s="859"/>
      <c r="P371" s="859"/>
      <c r="Q371" s="859"/>
      <c r="R371" s="859"/>
      <c r="S371" s="859"/>
      <c r="T371" s="859"/>
      <c r="U371" s="859"/>
      <c r="X371" s="859"/>
      <c r="Y371" s="859"/>
      <c r="Z371" s="859"/>
      <c r="AA371" s="859"/>
      <c r="AB371" s="859"/>
      <c r="AC371" s="859"/>
      <c r="AD371" s="859"/>
      <c r="AE371" s="869"/>
      <c r="AF371" s="869"/>
      <c r="AG371" s="869"/>
      <c r="AH371" s="869"/>
      <c r="AI371" s="869"/>
      <c r="AJ371" s="869"/>
      <c r="AK371" s="869"/>
      <c r="AL371" s="869"/>
      <c r="AM371" s="869"/>
      <c r="AN371" s="869"/>
      <c r="AO371" s="869"/>
      <c r="AP371" s="869"/>
      <c r="AQ371" s="869"/>
      <c r="AR371" s="869"/>
      <c r="AS371" s="869"/>
      <c r="AT371" s="869"/>
      <c r="AU371" s="869"/>
      <c r="AV371" s="869"/>
      <c r="AW371" s="869"/>
      <c r="AX371" s="869"/>
    </row>
    <row r="372" spans="8:8" customHeight="1">
      <c r="E372" s="975"/>
      <c r="F372" s="859"/>
      <c r="G372" s="859"/>
      <c r="H372" s="859"/>
      <c r="I372" s="859"/>
      <c r="J372" s="859"/>
      <c r="K372" s="859"/>
      <c r="L372" s="859"/>
      <c r="M372" s="859"/>
      <c r="N372" s="859"/>
      <c r="O372" s="859"/>
      <c r="P372" s="859"/>
      <c r="Q372" s="859"/>
      <c r="R372" s="859"/>
      <c r="S372" s="859"/>
      <c r="T372" s="859"/>
      <c r="U372" s="859"/>
      <c r="X372" s="859"/>
      <c r="Y372" s="859"/>
      <c r="Z372" s="859"/>
      <c r="AA372" s="859"/>
      <c r="AB372" s="859"/>
      <c r="AC372" s="859"/>
      <c r="AD372" s="859"/>
      <c r="AE372" s="869"/>
      <c r="AF372" s="869"/>
      <c r="AG372" s="869"/>
      <c r="AH372" s="869"/>
      <c r="AI372" s="869"/>
      <c r="AJ372" s="869"/>
      <c r="AK372" s="869"/>
      <c r="AL372" s="869"/>
      <c r="AM372" s="869"/>
      <c r="AN372" s="869"/>
      <c r="AO372" s="869"/>
      <c r="AP372" s="869"/>
      <c r="AQ372" s="869"/>
      <c r="AR372" s="869"/>
      <c r="AS372" s="869"/>
      <c r="AT372" s="869"/>
      <c r="AU372" s="869"/>
      <c r="AV372" s="869"/>
      <c r="AW372" s="869"/>
      <c r="AX372" s="869"/>
    </row>
    <row r="373" spans="8:8" customHeight="1">
      <c r="E373" s="975"/>
      <c r="F373" s="859"/>
      <c r="G373" s="859"/>
      <c r="H373" s="859"/>
      <c r="I373" s="859"/>
      <c r="J373" s="859"/>
      <c r="K373" s="859"/>
      <c r="L373" s="859"/>
      <c r="M373" s="859"/>
      <c r="N373" s="859"/>
      <c r="O373" s="859"/>
      <c r="P373" s="859"/>
      <c r="Q373" s="859"/>
      <c r="R373" s="859"/>
      <c r="S373" s="859"/>
      <c r="T373" s="859"/>
      <c r="U373" s="859"/>
      <c r="X373" s="859"/>
      <c r="Y373" s="859"/>
      <c r="Z373" s="859"/>
      <c r="AA373" s="859"/>
      <c r="AB373" s="859"/>
      <c r="AC373" s="859"/>
      <c r="AD373" s="859"/>
      <c r="AE373" s="869"/>
      <c r="AF373" s="869"/>
      <c r="AG373" s="869"/>
      <c r="AH373" s="869"/>
      <c r="AI373" s="869"/>
      <c r="AJ373" s="869"/>
      <c r="AK373" s="869"/>
      <c r="AL373" s="869"/>
      <c r="AM373" s="869"/>
      <c r="AN373" s="869"/>
      <c r="AO373" s="869"/>
      <c r="AP373" s="869"/>
      <c r="AQ373" s="869"/>
      <c r="AR373" s="869"/>
      <c r="AS373" s="869"/>
      <c r="AT373" s="869"/>
      <c r="AU373" s="869"/>
      <c r="AV373" s="869"/>
      <c r="AW373" s="869"/>
      <c r="AX373" s="869"/>
    </row>
    <row r="374" spans="8:8" customHeight="1">
      <c r="E374" s="975"/>
      <c r="F374" s="859"/>
      <c r="G374" s="859"/>
      <c r="H374" s="859"/>
      <c r="I374" s="859"/>
      <c r="J374" s="859"/>
      <c r="K374" s="859"/>
      <c r="L374" s="859"/>
      <c r="M374" s="859"/>
      <c r="N374" s="859"/>
      <c r="O374" s="859"/>
      <c r="P374" s="859"/>
      <c r="Q374" s="859"/>
      <c r="R374" s="859"/>
      <c r="S374" s="859"/>
      <c r="T374" s="859"/>
      <c r="U374" s="859"/>
      <c r="X374" s="859"/>
      <c r="Y374" s="859"/>
      <c r="Z374" s="859"/>
      <c r="AA374" s="859"/>
      <c r="AB374" s="859"/>
      <c r="AC374" s="859"/>
      <c r="AD374" s="859"/>
      <c r="AE374" s="869"/>
      <c r="AF374" s="869"/>
      <c r="AG374" s="869"/>
      <c r="AH374" s="869"/>
      <c r="AI374" s="869"/>
      <c r="AJ374" s="869"/>
      <c r="AK374" s="869"/>
      <c r="AL374" s="869"/>
      <c r="AM374" s="869"/>
      <c r="AN374" s="869"/>
      <c r="AO374" s="869"/>
      <c r="AP374" s="869"/>
      <c r="AQ374" s="869"/>
      <c r="AR374" s="869"/>
      <c r="AS374" s="869"/>
      <c r="AT374" s="869"/>
      <c r="AU374" s="869"/>
      <c r="AV374" s="869"/>
      <c r="AW374" s="869"/>
      <c r="AX374" s="869"/>
    </row>
    <row r="375" spans="8:8" customHeight="1">
      <c r="E375" s="975"/>
      <c r="F375" s="859"/>
      <c r="G375" s="859"/>
      <c r="H375" s="859"/>
      <c r="I375" s="859"/>
      <c r="J375" s="859"/>
      <c r="K375" s="859"/>
      <c r="L375" s="859"/>
      <c r="M375" s="859"/>
      <c r="N375" s="859"/>
      <c r="O375" s="859"/>
      <c r="P375" s="859"/>
      <c r="Q375" s="859"/>
      <c r="R375" s="859"/>
      <c r="S375" s="859"/>
      <c r="T375" s="859"/>
      <c r="U375" s="859"/>
      <c r="X375" s="859"/>
      <c r="Y375" s="859"/>
      <c r="Z375" s="859"/>
      <c r="AA375" s="859"/>
      <c r="AB375" s="859"/>
      <c r="AC375" s="859"/>
      <c r="AD375" s="859"/>
      <c r="AE375" s="869"/>
      <c r="AF375" s="869"/>
      <c r="AG375" s="869"/>
      <c r="AH375" s="869"/>
      <c r="AI375" s="869"/>
      <c r="AJ375" s="869"/>
      <c r="AK375" s="869"/>
      <c r="AL375" s="869"/>
      <c r="AM375" s="869"/>
      <c r="AN375" s="869"/>
      <c r="AO375" s="869"/>
      <c r="AP375" s="869"/>
      <c r="AQ375" s="869"/>
      <c r="AR375" s="869"/>
      <c r="AS375" s="869"/>
      <c r="AT375" s="869"/>
      <c r="AU375" s="869"/>
      <c r="AV375" s="869"/>
      <c r="AW375" s="869"/>
      <c r="AX375" s="869"/>
    </row>
    <row r="376" spans="8:8" customHeight="1">
      <c r="E376" s="975"/>
      <c r="F376" s="859"/>
      <c r="G376" s="859"/>
      <c r="H376" s="859"/>
      <c r="I376" s="859"/>
      <c r="J376" s="859"/>
      <c r="K376" s="859"/>
      <c r="L376" s="859"/>
      <c r="M376" s="859"/>
      <c r="N376" s="859"/>
      <c r="O376" s="859"/>
      <c r="P376" s="859"/>
      <c r="Q376" s="859"/>
      <c r="R376" s="859"/>
      <c r="S376" s="859"/>
      <c r="T376" s="859"/>
      <c r="U376" s="859"/>
      <c r="X376" s="859"/>
      <c r="Y376" s="859"/>
      <c r="Z376" s="859"/>
      <c r="AA376" s="859"/>
      <c r="AB376" s="859"/>
      <c r="AC376" s="859"/>
      <c r="AD376" s="859"/>
      <c r="AE376" s="869"/>
      <c r="AF376" s="869"/>
      <c r="AG376" s="869"/>
      <c r="AH376" s="869"/>
      <c r="AI376" s="869"/>
      <c r="AJ376" s="869"/>
      <c r="AK376" s="869"/>
      <c r="AL376" s="869"/>
      <c r="AM376" s="869"/>
      <c r="AN376" s="869"/>
      <c r="AO376" s="869"/>
      <c r="AP376" s="869"/>
      <c r="AQ376" s="869"/>
      <c r="AR376" s="869"/>
      <c r="AS376" s="869"/>
      <c r="AT376" s="869"/>
      <c r="AU376" s="869"/>
      <c r="AV376" s="869"/>
      <c r="AW376" s="869"/>
      <c r="AX376" s="869"/>
    </row>
    <row r="377" spans="8:8" customHeight="1">
      <c r="E377" s="975"/>
      <c r="F377" s="859"/>
      <c r="G377" s="859"/>
      <c r="H377" s="859"/>
      <c r="I377" s="859"/>
      <c r="J377" s="859"/>
      <c r="K377" s="859"/>
      <c r="L377" s="859"/>
      <c r="M377" s="859"/>
      <c r="N377" s="859"/>
      <c r="O377" s="859"/>
      <c r="P377" s="859"/>
      <c r="Q377" s="859"/>
      <c r="R377" s="859"/>
      <c r="S377" s="859"/>
      <c r="T377" s="859"/>
      <c r="U377" s="859"/>
      <c r="X377" s="859"/>
      <c r="Y377" s="859"/>
      <c r="Z377" s="859"/>
      <c r="AA377" s="859"/>
      <c r="AB377" s="859"/>
      <c r="AC377" s="859"/>
      <c r="AD377" s="859"/>
      <c r="AE377" s="869"/>
      <c r="AF377" s="869"/>
      <c r="AG377" s="869"/>
      <c r="AH377" s="869"/>
      <c r="AI377" s="869"/>
      <c r="AJ377" s="869"/>
      <c r="AK377" s="869"/>
      <c r="AL377" s="869"/>
      <c r="AM377" s="869"/>
      <c r="AN377" s="869"/>
      <c r="AO377" s="869"/>
      <c r="AP377" s="869"/>
      <c r="AQ377" s="869"/>
      <c r="AR377" s="869"/>
      <c r="AS377" s="869"/>
      <c r="AT377" s="869"/>
      <c r="AU377" s="869"/>
      <c r="AV377" s="869"/>
      <c r="AW377" s="869"/>
      <c r="AX377" s="869"/>
    </row>
    <row r="378" spans="8:8" customHeight="1">
      <c r="E378" s="975"/>
      <c r="F378" s="859"/>
      <c r="G378" s="859"/>
      <c r="H378" s="859"/>
      <c r="I378" s="859"/>
      <c r="J378" s="859"/>
      <c r="K378" s="859"/>
      <c r="L378" s="859"/>
      <c r="M378" s="859"/>
      <c r="N378" s="859"/>
      <c r="O378" s="859"/>
      <c r="P378" s="859"/>
      <c r="Q378" s="859"/>
      <c r="R378" s="859"/>
      <c r="S378" s="859"/>
      <c r="T378" s="859"/>
      <c r="U378" s="859"/>
      <c r="X378" s="859"/>
      <c r="Y378" s="859"/>
      <c r="Z378" s="859"/>
      <c r="AA378" s="859"/>
      <c r="AB378" s="859"/>
      <c r="AC378" s="859"/>
      <c r="AD378" s="859"/>
      <c r="AE378" s="869"/>
      <c r="AF378" s="869"/>
      <c r="AG378" s="869"/>
      <c r="AH378" s="869"/>
      <c r="AI378" s="869"/>
      <c r="AJ378" s="869"/>
      <c r="AK378" s="869"/>
      <c r="AL378" s="869"/>
      <c r="AM378" s="869"/>
      <c r="AN378" s="869"/>
      <c r="AO378" s="869"/>
      <c r="AP378" s="869"/>
      <c r="AQ378" s="869"/>
      <c r="AR378" s="869"/>
      <c r="AS378" s="869"/>
      <c r="AT378" s="869"/>
      <c r="AU378" s="869"/>
      <c r="AV378" s="869"/>
      <c r="AW378" s="869"/>
      <c r="AX378" s="869"/>
    </row>
    <row r="379" spans="8:8" customHeight="1">
      <c r="E379" s="975"/>
      <c r="F379" s="859"/>
      <c r="G379" s="859"/>
      <c r="H379" s="859"/>
      <c r="I379" s="859"/>
      <c r="J379" s="859"/>
      <c r="K379" s="859"/>
      <c r="L379" s="859"/>
      <c r="M379" s="859"/>
      <c r="N379" s="859"/>
      <c r="O379" s="859"/>
      <c r="P379" s="859"/>
      <c r="Q379" s="859"/>
      <c r="R379" s="859"/>
      <c r="S379" s="859"/>
      <c r="T379" s="859"/>
      <c r="U379" s="859"/>
      <c r="X379" s="859"/>
      <c r="Y379" s="859"/>
      <c r="Z379" s="859"/>
      <c r="AA379" s="859"/>
      <c r="AB379" s="859"/>
      <c r="AC379" s="859"/>
      <c r="AD379" s="859"/>
      <c r="AE379" s="869"/>
      <c r="AF379" s="869"/>
      <c r="AG379" s="869"/>
      <c r="AH379" s="869"/>
      <c r="AI379" s="869"/>
      <c r="AJ379" s="869"/>
      <c r="AK379" s="869"/>
      <c r="AL379" s="869"/>
      <c r="AM379" s="869"/>
      <c r="AN379" s="869"/>
      <c r="AO379" s="869"/>
      <c r="AP379" s="869"/>
      <c r="AQ379" s="869"/>
      <c r="AR379" s="869"/>
      <c r="AS379" s="869"/>
      <c r="AT379" s="869"/>
      <c r="AU379" s="869"/>
      <c r="AV379" s="869"/>
      <c r="AW379" s="869"/>
      <c r="AX379" s="869"/>
    </row>
    <row r="380" spans="8:8" customHeight="1">
      <c r="E380" s="975"/>
      <c r="F380" s="859"/>
      <c r="G380" s="859"/>
      <c r="H380" s="859"/>
      <c r="I380" s="859"/>
      <c r="J380" s="859"/>
      <c r="K380" s="859"/>
      <c r="L380" s="859"/>
      <c r="M380" s="859"/>
      <c r="N380" s="859"/>
      <c r="O380" s="859"/>
      <c r="P380" s="859"/>
      <c r="Q380" s="859"/>
      <c r="R380" s="859"/>
      <c r="S380" s="859"/>
      <c r="T380" s="859"/>
      <c r="U380" s="859"/>
      <c r="X380" s="859"/>
      <c r="Y380" s="859"/>
      <c r="Z380" s="859"/>
      <c r="AA380" s="859"/>
      <c r="AB380" s="859"/>
      <c r="AC380" s="859"/>
      <c r="AD380" s="859"/>
      <c r="AE380" s="869"/>
      <c r="AF380" s="869"/>
      <c r="AG380" s="869"/>
      <c r="AH380" s="869"/>
      <c r="AI380" s="869"/>
      <c r="AJ380" s="869"/>
      <c r="AK380" s="869"/>
      <c r="AL380" s="869"/>
      <c r="AM380" s="869"/>
      <c r="AN380" s="869"/>
      <c r="AO380" s="869"/>
      <c r="AP380" s="869"/>
      <c r="AQ380" s="869"/>
      <c r="AR380" s="869"/>
      <c r="AS380" s="869"/>
      <c r="AT380" s="869"/>
      <c r="AU380" s="869"/>
      <c r="AV380" s="869"/>
      <c r="AW380" s="869"/>
      <c r="AX380" s="869"/>
    </row>
    <row r="381" spans="8:8" customHeight="1">
      <c r="E381" s="975"/>
      <c r="F381" s="859"/>
      <c r="G381" s="859"/>
      <c r="H381" s="859"/>
      <c r="I381" s="859"/>
      <c r="J381" s="859"/>
      <c r="K381" s="859"/>
      <c r="L381" s="859"/>
      <c r="M381" s="859"/>
      <c r="N381" s="859"/>
      <c r="O381" s="859"/>
      <c r="P381" s="859"/>
      <c r="Q381" s="859"/>
      <c r="R381" s="859"/>
      <c r="S381" s="859"/>
      <c r="T381" s="859"/>
      <c r="U381" s="859"/>
      <c r="V381" s="859"/>
      <c r="W381" s="859"/>
      <c r="X381" s="859"/>
      <c r="Y381" s="859"/>
      <c r="Z381" s="859"/>
      <c r="AA381" s="859"/>
      <c r="AB381" s="859"/>
      <c r="AC381" s="859"/>
      <c r="AD381" s="859"/>
      <c r="AE381" s="869"/>
      <c r="AF381" s="869"/>
      <c r="AG381" s="869"/>
      <c r="AH381" s="869"/>
      <c r="AI381" s="869"/>
      <c r="AJ381" s="869"/>
      <c r="AK381" s="869"/>
      <c r="AL381" s="869"/>
      <c r="AM381" s="869"/>
      <c r="AN381" s="869"/>
      <c r="AO381" s="869"/>
      <c r="AP381" s="869"/>
      <c r="AQ381" s="869"/>
      <c r="AR381" s="869"/>
      <c r="AS381" s="869"/>
      <c r="AT381" s="869"/>
      <c r="AU381" s="869"/>
      <c r="AV381" s="869"/>
      <c r="AW381" s="869"/>
      <c r="AX381" s="869"/>
    </row>
    <row r="382" spans="8:8" customHeight="1">
      <c r="E382" s="975"/>
      <c r="F382" s="859"/>
      <c r="G382" s="859"/>
      <c r="H382" s="859"/>
      <c r="I382" s="859"/>
      <c r="J382" s="859"/>
      <c r="K382" s="859"/>
      <c r="L382" s="859"/>
      <c r="M382" s="859"/>
      <c r="N382" s="859"/>
      <c r="O382" s="859"/>
      <c r="P382" s="859"/>
      <c r="Q382" s="859"/>
      <c r="R382" s="859"/>
      <c r="S382" s="859"/>
      <c r="T382" s="859"/>
      <c r="U382" s="859"/>
      <c r="V382" s="859"/>
      <c r="W382" s="859"/>
      <c r="X382" s="859"/>
      <c r="Y382" s="859"/>
      <c r="Z382" s="859"/>
      <c r="AA382" s="859"/>
      <c r="AB382" s="859"/>
      <c r="AC382" s="859"/>
      <c r="AD382" s="859"/>
      <c r="AE382" s="869"/>
      <c r="AF382" s="869"/>
      <c r="AG382" s="869"/>
      <c r="AH382" s="869"/>
      <c r="AI382" s="869"/>
      <c r="AJ382" s="869"/>
      <c r="AK382" s="869"/>
      <c r="AL382" s="869"/>
      <c r="AM382" s="869"/>
      <c r="AN382" s="869"/>
      <c r="AO382" s="869"/>
      <c r="AP382" s="869"/>
      <c r="AQ382" s="869"/>
      <c r="AR382" s="869"/>
      <c r="AS382" s="869"/>
      <c r="AT382" s="869"/>
      <c r="AU382" s="869"/>
      <c r="AV382" s="869"/>
      <c r="AW382" s="869"/>
      <c r="AX382" s="869"/>
    </row>
    <row r="383" spans="8:8" customHeight="1">
      <c r="E383" s="975"/>
      <c r="F383" s="859"/>
      <c r="G383" s="859"/>
      <c r="H383" s="859"/>
      <c r="I383" s="859"/>
      <c r="J383" s="859"/>
      <c r="K383" s="859"/>
      <c r="L383" s="859"/>
      <c r="M383" s="859"/>
      <c r="N383" s="859"/>
      <c r="O383" s="859"/>
      <c r="P383" s="859"/>
      <c r="Q383" s="859"/>
      <c r="R383" s="859"/>
      <c r="S383" s="859"/>
      <c r="T383" s="859"/>
      <c r="U383" s="859"/>
      <c r="V383" s="859"/>
      <c r="W383" s="859"/>
      <c r="X383" s="859"/>
      <c r="Y383" s="859"/>
      <c r="Z383" s="859"/>
      <c r="AA383" s="859"/>
      <c r="AB383" s="859"/>
      <c r="AC383" s="859"/>
      <c r="AD383" s="859"/>
      <c r="AE383" s="869"/>
      <c r="AF383" s="869"/>
      <c r="AG383" s="869"/>
      <c r="AH383" s="869"/>
      <c r="AI383" s="869"/>
      <c r="AJ383" s="869"/>
      <c r="AK383" s="869"/>
      <c r="AL383" s="869"/>
      <c r="AM383" s="869"/>
      <c r="AN383" s="869"/>
      <c r="AO383" s="869"/>
      <c r="AP383" s="869"/>
      <c r="AQ383" s="869"/>
      <c r="AR383" s="869"/>
      <c r="AS383" s="869"/>
      <c r="AT383" s="869"/>
      <c r="AU383" s="869"/>
      <c r="AV383" s="869"/>
      <c r="AW383" s="869"/>
      <c r="AX383" s="869"/>
    </row>
    <row r="384" spans="8:8" customHeight="1">
      <c r="E384" s="975"/>
      <c r="F384" s="859"/>
      <c r="G384" s="859"/>
      <c r="H384" s="859"/>
      <c r="I384" s="859"/>
      <c r="J384" s="859"/>
      <c r="K384" s="859"/>
      <c r="L384" s="859"/>
      <c r="M384" s="859"/>
      <c r="N384" s="859"/>
      <c r="O384" s="859"/>
      <c r="P384" s="859"/>
      <c r="Q384" s="859"/>
      <c r="R384" s="859"/>
      <c r="S384" s="859"/>
      <c r="T384" s="859"/>
      <c r="U384" s="859"/>
      <c r="V384" s="859"/>
      <c r="W384" s="859"/>
      <c r="X384" s="859"/>
      <c r="Y384" s="859"/>
      <c r="Z384" s="859"/>
      <c r="AA384" s="859"/>
      <c r="AB384" s="859"/>
      <c r="AC384" s="859"/>
      <c r="AD384" s="859"/>
      <c r="AE384" s="869"/>
      <c r="AF384" s="869"/>
      <c r="AG384" s="869"/>
      <c r="AH384" s="869"/>
      <c r="AI384" s="869"/>
      <c r="AJ384" s="869"/>
      <c r="AK384" s="869"/>
      <c r="AL384" s="869"/>
      <c r="AM384" s="869"/>
      <c r="AN384" s="869"/>
      <c r="AO384" s="869"/>
      <c r="AP384" s="869"/>
      <c r="AQ384" s="869"/>
      <c r="AR384" s="869"/>
      <c r="AS384" s="869"/>
      <c r="AT384" s="869"/>
      <c r="AU384" s="869"/>
      <c r="AV384" s="869"/>
      <c r="AW384" s="869"/>
      <c r="AX384" s="869"/>
    </row>
    <row r="385" spans="8:8" customHeight="1">
      <c r="E385" s="975"/>
      <c r="F385" s="859"/>
      <c r="G385" s="859"/>
      <c r="H385" s="859"/>
      <c r="I385" s="859"/>
      <c r="J385" s="859"/>
      <c r="K385" s="859"/>
      <c r="L385" s="859"/>
      <c r="M385" s="859"/>
      <c r="N385" s="859"/>
      <c r="O385" s="859"/>
      <c r="P385" s="859"/>
      <c r="Q385" s="859"/>
      <c r="R385" s="859"/>
      <c r="S385" s="859"/>
      <c r="T385" s="859"/>
      <c r="U385" s="859"/>
      <c r="V385" s="859"/>
      <c r="W385" s="859"/>
      <c r="X385" s="859"/>
      <c r="Y385" s="859"/>
      <c r="Z385" s="859"/>
      <c r="AA385" s="859"/>
      <c r="AB385" s="859"/>
      <c r="AC385" s="859"/>
      <c r="AD385" s="859"/>
      <c r="AE385" s="869"/>
      <c r="AF385" s="869"/>
      <c r="AG385" s="869"/>
      <c r="AH385" s="869"/>
      <c r="AI385" s="869"/>
      <c r="AJ385" s="869"/>
      <c r="AK385" s="869"/>
      <c r="AL385" s="869"/>
      <c r="AM385" s="869"/>
      <c r="AN385" s="869"/>
      <c r="AO385" s="869"/>
      <c r="AP385" s="869"/>
      <c r="AQ385" s="869"/>
      <c r="AR385" s="869"/>
      <c r="AS385" s="869"/>
      <c r="AT385" s="869"/>
      <c r="AU385" s="869"/>
      <c r="AV385" s="869"/>
      <c r="AW385" s="869"/>
      <c r="AX385" s="869"/>
    </row>
    <row r="386" spans="8:8" customHeight="1">
      <c r="E386" s="975"/>
      <c r="F386" s="859"/>
      <c r="G386" s="859"/>
      <c r="H386" s="859"/>
      <c r="I386" s="859"/>
      <c r="J386" s="859"/>
      <c r="K386" s="859"/>
      <c r="L386" s="859"/>
      <c r="M386" s="859"/>
      <c r="N386" s="859"/>
      <c r="O386" s="859"/>
      <c r="P386" s="859"/>
      <c r="Q386" s="859"/>
      <c r="R386" s="859"/>
      <c r="S386" s="859"/>
      <c r="T386" s="859"/>
      <c r="U386" s="859"/>
      <c r="V386" s="859"/>
      <c r="W386" s="859"/>
      <c r="X386" s="859"/>
      <c r="Y386" s="859"/>
      <c r="Z386" s="859"/>
      <c r="AA386" s="859"/>
      <c r="AB386" s="859"/>
      <c r="AC386" s="859"/>
      <c r="AD386" s="859"/>
      <c r="AE386" s="869"/>
      <c r="AF386" s="869"/>
      <c r="AG386" s="869"/>
      <c r="AH386" s="869"/>
      <c r="AI386" s="869"/>
      <c r="AJ386" s="869"/>
      <c r="AK386" s="869"/>
      <c r="AL386" s="869"/>
      <c r="AM386" s="869"/>
      <c r="AN386" s="869"/>
      <c r="AO386" s="869"/>
      <c r="AP386" s="869"/>
      <c r="AQ386" s="869"/>
      <c r="AR386" s="869"/>
      <c r="AS386" s="869"/>
      <c r="AT386" s="869"/>
      <c r="AU386" s="869"/>
      <c r="AV386" s="869"/>
      <c r="AW386" s="869"/>
      <c r="AX386" s="869"/>
    </row>
    <row r="387" spans="8:8" customHeight="1">
      <c r="E387" s="975"/>
      <c r="F387" s="859"/>
      <c r="G387" s="859"/>
      <c r="H387" s="859"/>
      <c r="I387" s="859"/>
      <c r="J387" s="859"/>
      <c r="K387" s="859"/>
      <c r="L387" s="859"/>
      <c r="M387" s="859"/>
      <c r="N387" s="859"/>
      <c r="O387" s="859"/>
      <c r="P387" s="859"/>
      <c r="Q387" s="859"/>
      <c r="R387" s="859"/>
      <c r="S387" s="859"/>
      <c r="T387" s="859"/>
      <c r="U387" s="859"/>
      <c r="V387" s="859"/>
      <c r="W387" s="859"/>
      <c r="X387" s="859"/>
      <c r="Y387" s="859"/>
      <c r="Z387" s="859"/>
      <c r="AA387" s="859"/>
      <c r="AB387" s="859"/>
      <c r="AC387" s="859"/>
      <c r="AD387" s="859"/>
      <c r="AE387" s="869"/>
      <c r="AF387" s="869"/>
      <c r="AG387" s="869"/>
      <c r="AH387" s="869"/>
      <c r="AI387" s="869"/>
      <c r="AJ387" s="869"/>
      <c r="AK387" s="869"/>
      <c r="AL387" s="869"/>
      <c r="AM387" s="869"/>
      <c r="AN387" s="869"/>
      <c r="AO387" s="869"/>
      <c r="AP387" s="869"/>
      <c r="AQ387" s="869"/>
      <c r="AR387" s="869"/>
      <c r="AS387" s="869"/>
      <c r="AT387" s="869"/>
      <c r="AU387" s="869"/>
      <c r="AV387" s="869"/>
      <c r="AW387" s="869"/>
      <c r="AX387" s="869"/>
    </row>
    <row r="388" spans="8:8" customHeight="1">
      <c r="E388" s="975"/>
      <c r="F388" s="859"/>
      <c r="G388" s="859"/>
      <c r="H388" s="859"/>
      <c r="I388" s="859"/>
      <c r="J388" s="859"/>
      <c r="K388" s="859"/>
      <c r="L388" s="859"/>
      <c r="M388" s="859"/>
      <c r="N388" s="859"/>
      <c r="O388" s="859"/>
      <c r="P388" s="859"/>
      <c r="Q388" s="859"/>
      <c r="R388" s="859"/>
      <c r="S388" s="859"/>
      <c r="T388" s="859"/>
      <c r="U388" s="859"/>
      <c r="V388" s="859"/>
      <c r="W388" s="859"/>
      <c r="X388" s="859"/>
      <c r="Y388" s="859"/>
      <c r="Z388" s="859"/>
      <c r="AA388" s="859"/>
      <c r="AB388" s="859"/>
      <c r="AC388" s="859"/>
      <c r="AD388" s="859"/>
      <c r="AE388" s="869"/>
      <c r="AF388" s="869"/>
      <c r="AG388" s="869"/>
      <c r="AH388" s="869"/>
      <c r="AI388" s="869"/>
      <c r="AJ388" s="869"/>
      <c r="AK388" s="869"/>
      <c r="AL388" s="869"/>
      <c r="AM388" s="869"/>
      <c r="AN388" s="869"/>
      <c r="AO388" s="869"/>
      <c r="AP388" s="869"/>
      <c r="AQ388" s="869"/>
      <c r="AR388" s="869"/>
      <c r="AS388" s="869"/>
      <c r="AT388" s="869"/>
      <c r="AU388" s="869"/>
      <c r="AV388" s="869"/>
      <c r="AW388" s="869"/>
      <c r="AX388" s="869"/>
    </row>
    <row r="389" spans="8:8" customHeight="1">
      <c r="E389" s="975"/>
      <c r="F389" s="859"/>
      <c r="G389" s="859"/>
      <c r="H389" s="859"/>
      <c r="I389" s="859"/>
      <c r="J389" s="859"/>
      <c r="K389" s="859"/>
      <c r="L389" s="859"/>
      <c r="M389" s="859"/>
      <c r="N389" s="859"/>
      <c r="O389" s="859"/>
      <c r="P389" s="859"/>
      <c r="Q389" s="859"/>
      <c r="R389" s="859"/>
      <c r="S389" s="859"/>
      <c r="T389" s="859"/>
      <c r="U389" s="859"/>
      <c r="V389" s="859"/>
      <c r="W389" s="859"/>
      <c r="X389" s="859"/>
      <c r="Y389" s="859"/>
      <c r="Z389" s="859"/>
      <c r="AA389" s="859"/>
      <c r="AB389" s="859"/>
      <c r="AC389" s="859"/>
      <c r="AD389" s="859"/>
      <c r="AE389" s="869"/>
      <c r="AF389" s="869"/>
      <c r="AG389" s="869"/>
      <c r="AH389" s="869"/>
      <c r="AI389" s="869"/>
      <c r="AJ389" s="869"/>
      <c r="AK389" s="869"/>
      <c r="AL389" s="869"/>
      <c r="AM389" s="869"/>
      <c r="AN389" s="869"/>
      <c r="AO389" s="869"/>
      <c r="AP389" s="869"/>
      <c r="AQ389" s="869"/>
      <c r="AR389" s="869"/>
      <c r="AS389" s="869"/>
      <c r="AT389" s="869"/>
      <c r="AU389" s="869"/>
      <c r="AV389" s="869"/>
      <c r="AW389" s="869"/>
      <c r="AX389" s="869"/>
    </row>
    <row r="390" spans="8:8" customHeight="1">
      <c r="E390" s="975"/>
      <c r="F390" s="859"/>
      <c r="G390" s="859"/>
      <c r="H390" s="859"/>
      <c r="I390" s="859"/>
      <c r="J390" s="859"/>
      <c r="K390" s="859"/>
      <c r="L390" s="859"/>
      <c r="M390" s="859"/>
      <c r="N390" s="859"/>
      <c r="O390" s="859"/>
      <c r="P390" s="859"/>
      <c r="Q390" s="859"/>
      <c r="R390" s="859"/>
      <c r="S390" s="859"/>
      <c r="T390" s="859"/>
      <c r="U390" s="859"/>
      <c r="V390" s="859"/>
      <c r="W390" s="859"/>
      <c r="X390" s="859"/>
      <c r="Y390" s="859"/>
      <c r="Z390" s="859"/>
      <c r="AA390" s="859"/>
      <c r="AB390" s="859"/>
      <c r="AC390" s="859"/>
      <c r="AD390" s="859"/>
      <c r="AE390" s="869"/>
      <c r="AF390" s="869"/>
      <c r="AG390" s="869"/>
      <c r="AH390" s="869"/>
      <c r="AI390" s="869"/>
      <c r="AJ390" s="869"/>
      <c r="AK390" s="869"/>
      <c r="AL390" s="869"/>
      <c r="AM390" s="869"/>
      <c r="AN390" s="869"/>
      <c r="AO390" s="869"/>
      <c r="AP390" s="869"/>
      <c r="AQ390" s="869"/>
      <c r="AR390" s="869"/>
      <c r="AS390" s="869"/>
      <c r="AT390" s="869"/>
      <c r="AU390" s="869"/>
      <c r="AV390" s="869"/>
      <c r="AW390" s="869"/>
      <c r="AX390" s="869"/>
    </row>
    <row r="391" spans="8:8" customHeight="1">
      <c r="A391" s="859"/>
      <c r="B391" s="859"/>
      <c r="C391" s="859"/>
      <c r="D391" s="859"/>
      <c r="E391" s="975"/>
      <c r="F391" s="859"/>
      <c r="G391" s="859"/>
      <c r="H391" s="859"/>
      <c r="I391" s="859"/>
      <c r="J391" s="859"/>
      <c r="K391" s="859"/>
      <c r="L391" s="859"/>
      <c r="M391" s="859"/>
      <c r="N391" s="859"/>
      <c r="O391" s="859"/>
      <c r="P391" s="859"/>
      <c r="Q391" s="859"/>
      <c r="R391" s="859"/>
      <c r="S391" s="859"/>
      <c r="T391" s="859"/>
      <c r="U391" s="859"/>
      <c r="V391" s="859"/>
      <c r="W391" s="859"/>
      <c r="X391" s="859"/>
      <c r="Y391" s="859"/>
      <c r="Z391" s="859"/>
      <c r="AA391" s="859"/>
      <c r="AB391" s="859"/>
      <c r="AC391" s="859"/>
      <c r="AD391" s="859"/>
      <c r="AE391" s="869"/>
      <c r="AF391" s="869"/>
      <c r="AG391" s="869"/>
      <c r="AH391" s="869"/>
      <c r="AI391" s="869"/>
      <c r="AJ391" s="869"/>
      <c r="AK391" s="869"/>
      <c r="AL391" s="869"/>
      <c r="AM391" s="869"/>
      <c r="AN391" s="869"/>
      <c r="AO391" s="869"/>
      <c r="AP391" s="869"/>
      <c r="AQ391" s="869"/>
      <c r="AR391" s="869"/>
      <c r="AS391" s="869"/>
      <c r="AT391" s="869"/>
      <c r="AU391" s="869"/>
      <c r="AV391" s="869"/>
      <c r="AW391" s="869"/>
      <c r="AX391" s="869"/>
    </row>
    <row r="392" spans="8:8" customHeight="1">
      <c r="A392" s="859"/>
      <c r="B392" s="859"/>
      <c r="C392" s="859"/>
      <c r="D392" s="859"/>
      <c r="E392" s="975"/>
      <c r="F392" s="859"/>
      <c r="G392" s="859"/>
      <c r="H392" s="859"/>
      <c r="I392" s="859"/>
      <c r="J392" s="859"/>
      <c r="K392" s="859"/>
      <c r="L392" s="859"/>
      <c r="M392" s="859"/>
      <c r="N392" s="859"/>
      <c r="O392" s="859"/>
      <c r="P392" s="859"/>
      <c r="Q392" s="859"/>
      <c r="R392" s="859"/>
      <c r="S392" s="859"/>
      <c r="T392" s="859"/>
      <c r="U392" s="859"/>
      <c r="V392" s="859"/>
      <c r="W392" s="859"/>
      <c r="X392" s="859"/>
      <c r="Y392" s="859"/>
      <c r="Z392" s="859"/>
      <c r="AA392" s="859"/>
      <c r="AB392" s="859"/>
      <c r="AC392" s="859"/>
      <c r="AD392" s="859"/>
      <c r="AE392" s="869"/>
      <c r="AF392" s="869"/>
      <c r="AG392" s="869"/>
      <c r="AH392" s="869"/>
      <c r="AI392" s="869"/>
      <c r="AJ392" s="869"/>
      <c r="AK392" s="869"/>
      <c r="AL392" s="869"/>
      <c r="AM392" s="869"/>
      <c r="AN392" s="869"/>
      <c r="AO392" s="869"/>
      <c r="AP392" s="869"/>
      <c r="AQ392" s="869"/>
      <c r="AR392" s="869"/>
      <c r="AS392" s="869"/>
      <c r="AT392" s="869"/>
      <c r="AU392" s="869"/>
      <c r="AV392" s="869"/>
      <c r="AW392" s="869"/>
      <c r="AX392" s="869"/>
    </row>
    <row r="393" spans="8:8" customHeight="1">
      <c r="A393" s="859"/>
      <c r="B393" s="859"/>
      <c r="C393" s="859"/>
      <c r="D393" s="859"/>
      <c r="E393" s="975"/>
      <c r="F393" s="859"/>
      <c r="G393" s="859"/>
      <c r="H393" s="859"/>
      <c r="I393" s="859"/>
      <c r="J393" s="859"/>
      <c r="K393" s="859"/>
      <c r="L393" s="859"/>
      <c r="M393" s="859"/>
      <c r="N393" s="859"/>
      <c r="O393" s="859"/>
      <c r="P393" s="859"/>
      <c r="Q393" s="859"/>
      <c r="R393" s="859"/>
      <c r="S393" s="859"/>
      <c r="T393" s="859"/>
      <c r="U393" s="859"/>
      <c r="V393" s="859"/>
      <c r="W393" s="859"/>
      <c r="X393" s="859"/>
      <c r="Y393" s="859"/>
      <c r="Z393" s="859"/>
      <c r="AA393" s="859"/>
      <c r="AB393" s="859"/>
      <c r="AC393" s="859"/>
      <c r="AD393" s="859"/>
      <c r="AE393" s="869"/>
      <c r="AF393" s="869"/>
      <c r="AG393" s="869"/>
      <c r="AH393" s="869"/>
      <c r="AI393" s="869"/>
      <c r="AJ393" s="869"/>
      <c r="AK393" s="869"/>
      <c r="AL393" s="869"/>
      <c r="AM393" s="869"/>
      <c r="AN393" s="869"/>
      <c r="AO393" s="869"/>
      <c r="AP393" s="869"/>
      <c r="AQ393" s="869"/>
      <c r="AR393" s="869"/>
      <c r="AS393" s="869"/>
      <c r="AT393" s="869"/>
      <c r="AU393" s="869"/>
      <c r="AV393" s="869"/>
      <c r="AW393" s="869"/>
      <c r="AX393" s="869"/>
    </row>
    <row r="394" spans="8:8" customHeight="1">
      <c r="A394" s="859"/>
      <c r="B394" s="859"/>
      <c r="C394" s="859"/>
      <c r="D394" s="859"/>
      <c r="E394" s="975"/>
      <c r="F394" s="859"/>
      <c r="G394" s="859"/>
      <c r="H394" s="859"/>
      <c r="I394" s="859"/>
      <c r="J394" s="859"/>
      <c r="K394" s="859"/>
      <c r="L394" s="859"/>
      <c r="M394" s="859"/>
      <c r="N394" s="859"/>
      <c r="O394" s="859"/>
      <c r="P394" s="859"/>
      <c r="Q394" s="859"/>
      <c r="R394" s="859"/>
      <c r="S394" s="859"/>
      <c r="T394" s="859"/>
      <c r="U394" s="859"/>
      <c r="V394" s="859"/>
      <c r="W394" s="859"/>
      <c r="X394" s="859"/>
      <c r="Y394" s="859"/>
      <c r="Z394" s="859"/>
      <c r="AA394" s="859"/>
      <c r="AB394" s="859"/>
      <c r="AC394" s="859"/>
      <c r="AD394" s="859"/>
      <c r="AE394" s="869"/>
      <c r="AF394" s="869"/>
      <c r="AG394" s="869"/>
      <c r="AH394" s="869"/>
      <c r="AI394" s="869"/>
      <c r="AJ394" s="869"/>
      <c r="AK394" s="869"/>
      <c r="AL394" s="869"/>
      <c r="AM394" s="869"/>
      <c r="AN394" s="869"/>
      <c r="AO394" s="869"/>
      <c r="AP394" s="869"/>
      <c r="AQ394" s="869"/>
      <c r="AR394" s="869"/>
      <c r="AS394" s="869"/>
      <c r="AT394" s="869"/>
      <c r="AU394" s="869"/>
      <c r="AV394" s="869"/>
      <c r="AW394" s="869"/>
      <c r="AX394" s="869"/>
    </row>
    <row r="395" spans="8:8" customHeight="1">
      <c r="A395" s="859"/>
      <c r="B395" s="859"/>
      <c r="C395" s="859"/>
      <c r="D395" s="859"/>
      <c r="E395" s="975"/>
      <c r="F395" s="859"/>
      <c r="G395" s="859"/>
      <c r="H395" s="859"/>
      <c r="I395" s="859"/>
      <c r="J395" s="859"/>
      <c r="K395" s="859"/>
      <c r="L395" s="859"/>
      <c r="M395" s="859"/>
      <c r="N395" s="859"/>
      <c r="O395" s="859"/>
      <c r="P395" s="859"/>
      <c r="Q395" s="859"/>
      <c r="R395" s="859"/>
      <c r="S395" s="859"/>
      <c r="T395" s="859"/>
      <c r="U395" s="859"/>
      <c r="V395" s="859"/>
      <c r="W395" s="859"/>
      <c r="X395" s="859"/>
      <c r="Y395" s="859"/>
      <c r="Z395" s="859"/>
      <c r="AA395" s="859"/>
      <c r="AB395" s="859"/>
      <c r="AC395" s="859"/>
      <c r="AD395" s="859"/>
      <c r="AE395" s="869"/>
      <c r="AF395" s="869"/>
      <c r="AG395" s="869"/>
      <c r="AH395" s="869"/>
      <c r="AI395" s="869"/>
      <c r="AJ395" s="869"/>
      <c r="AK395" s="869"/>
      <c r="AL395" s="869"/>
      <c r="AM395" s="869"/>
      <c r="AN395" s="869"/>
      <c r="AO395" s="869"/>
      <c r="AP395" s="869"/>
      <c r="AQ395" s="869"/>
      <c r="AR395" s="869"/>
      <c r="AS395" s="869"/>
      <c r="AT395" s="869"/>
      <c r="AU395" s="869"/>
      <c r="AV395" s="869"/>
      <c r="AW395" s="869"/>
      <c r="AX395" s="869"/>
    </row>
    <row r="396" spans="8:8" customHeight="1">
      <c r="A396" s="859"/>
      <c r="B396" s="859"/>
      <c r="C396" s="859"/>
      <c r="D396" s="859"/>
      <c r="E396" s="975"/>
      <c r="F396" s="859"/>
      <c r="G396" s="859"/>
      <c r="H396" s="859"/>
      <c r="I396" s="859"/>
      <c r="J396" s="859"/>
      <c r="K396" s="859"/>
      <c r="L396" s="859"/>
      <c r="M396" s="859"/>
      <c r="N396" s="859"/>
      <c r="O396" s="859"/>
      <c r="P396" s="859"/>
      <c r="Q396" s="859"/>
      <c r="R396" s="859"/>
      <c r="S396" s="859"/>
      <c r="T396" s="859"/>
      <c r="U396" s="859"/>
      <c r="V396" s="859"/>
      <c r="W396" s="859"/>
      <c r="X396" s="859"/>
      <c r="Y396" s="859"/>
      <c r="Z396" s="859"/>
      <c r="AA396" s="859"/>
      <c r="AB396" s="859"/>
      <c r="AC396" s="859"/>
      <c r="AD396" s="859"/>
      <c r="AE396" s="869"/>
      <c r="AF396" s="869"/>
      <c r="AG396" s="869"/>
      <c r="AH396" s="869"/>
      <c r="AI396" s="869"/>
      <c r="AJ396" s="869"/>
      <c r="AK396" s="869"/>
      <c r="AL396" s="869"/>
      <c r="AM396" s="869"/>
      <c r="AN396" s="869"/>
      <c r="AO396" s="869"/>
      <c r="AP396" s="869"/>
      <c r="AQ396" s="869"/>
      <c r="AR396" s="869"/>
      <c r="AS396" s="869"/>
      <c r="AT396" s="869"/>
      <c r="AU396" s="869"/>
      <c r="AV396" s="869"/>
      <c r="AW396" s="869"/>
      <c r="AX396" s="869"/>
    </row>
    <row r="397" spans="8:8" customHeight="1">
      <c r="A397" s="859"/>
      <c r="B397" s="859"/>
      <c r="C397" s="859"/>
      <c r="D397" s="859"/>
      <c r="E397" s="975"/>
      <c r="F397" s="859"/>
      <c r="G397" s="859"/>
      <c r="H397" s="859"/>
      <c r="I397" s="859"/>
      <c r="J397" s="859"/>
      <c r="K397" s="859"/>
      <c r="L397" s="859"/>
      <c r="M397" s="859"/>
      <c r="N397" s="859"/>
      <c r="O397" s="859"/>
      <c r="P397" s="859"/>
      <c r="Q397" s="859"/>
      <c r="R397" s="859"/>
      <c r="S397" s="859"/>
      <c r="T397" s="859"/>
      <c r="U397" s="859"/>
      <c r="V397" s="859"/>
      <c r="W397" s="859"/>
      <c r="X397" s="859"/>
      <c r="Y397" s="859"/>
      <c r="Z397" s="859"/>
      <c r="AA397" s="859"/>
      <c r="AB397" s="859"/>
      <c r="AC397" s="859"/>
      <c r="AD397" s="859"/>
      <c r="AE397" s="869"/>
      <c r="AF397" s="869"/>
      <c r="AG397" s="869"/>
      <c r="AH397" s="869"/>
      <c r="AI397" s="869"/>
      <c r="AJ397" s="869"/>
      <c r="AK397" s="869"/>
      <c r="AL397" s="869"/>
      <c r="AM397" s="869"/>
      <c r="AN397" s="869"/>
      <c r="AO397" s="869"/>
      <c r="AP397" s="869"/>
      <c r="AQ397" s="869"/>
      <c r="AR397" s="869"/>
      <c r="AS397" s="869"/>
      <c r="AT397" s="869"/>
      <c r="AU397" s="869"/>
      <c r="AV397" s="869"/>
      <c r="AW397" s="869"/>
      <c r="AX397" s="869"/>
    </row>
    <row r="398" spans="8:8" customHeight="1">
      <c r="A398" s="859"/>
      <c r="B398" s="859"/>
      <c r="C398" s="859"/>
      <c r="D398" s="859"/>
      <c r="E398" s="975"/>
      <c r="F398" s="859"/>
      <c r="G398" s="859"/>
      <c r="H398" s="859"/>
      <c r="I398" s="859"/>
      <c r="J398" s="859"/>
      <c r="K398" s="859"/>
      <c r="L398" s="859"/>
      <c r="M398" s="859"/>
      <c r="N398" s="859"/>
      <c r="O398" s="859"/>
      <c r="P398" s="859"/>
      <c r="Q398" s="859"/>
      <c r="R398" s="859"/>
      <c r="S398" s="859"/>
      <c r="T398" s="859"/>
      <c r="U398" s="859"/>
      <c r="V398" s="859"/>
      <c r="W398" s="859"/>
      <c r="X398" s="859"/>
      <c r="Y398" s="859"/>
      <c r="Z398" s="859"/>
      <c r="AA398" s="859"/>
      <c r="AB398" s="859"/>
      <c r="AC398" s="859"/>
      <c r="AD398" s="859"/>
      <c r="AE398" s="869"/>
      <c r="AF398" s="869"/>
      <c r="AG398" s="869"/>
      <c r="AH398" s="869"/>
      <c r="AI398" s="869"/>
      <c r="AJ398" s="869"/>
      <c r="AK398" s="869"/>
      <c r="AL398" s="869"/>
      <c r="AM398" s="869"/>
      <c r="AN398" s="869"/>
      <c r="AO398" s="869"/>
      <c r="AP398" s="869"/>
      <c r="AQ398" s="869"/>
      <c r="AR398" s="869"/>
      <c r="AS398" s="869"/>
      <c r="AT398" s="869"/>
      <c r="AU398" s="869"/>
      <c r="AV398" s="869"/>
      <c r="AW398" s="869"/>
      <c r="AX398" s="869"/>
    </row>
    <row r="399" spans="8:8" customHeight="1">
      <c r="A399" s="859"/>
      <c r="B399" s="859"/>
      <c r="C399" s="859"/>
      <c r="D399" s="859"/>
      <c r="E399" s="975"/>
      <c r="F399" s="859"/>
      <c r="G399" s="859"/>
      <c r="H399" s="859"/>
      <c r="I399" s="859"/>
      <c r="J399" s="859"/>
      <c r="K399" s="859"/>
      <c r="L399" s="859"/>
      <c r="M399" s="859"/>
      <c r="N399" s="859"/>
      <c r="O399" s="859"/>
      <c r="P399" s="859"/>
      <c r="Q399" s="859"/>
      <c r="R399" s="859"/>
      <c r="S399" s="859"/>
      <c r="T399" s="859"/>
      <c r="U399" s="859"/>
      <c r="V399" s="859"/>
      <c r="W399" s="859"/>
      <c r="X399" s="859"/>
      <c r="Y399" s="859"/>
      <c r="Z399" s="859"/>
      <c r="AA399" s="859"/>
      <c r="AB399" s="859"/>
      <c r="AC399" s="859"/>
      <c r="AD399" s="859"/>
      <c r="AE399" s="869"/>
      <c r="AF399" s="869"/>
      <c r="AG399" s="869"/>
      <c r="AH399" s="869"/>
      <c r="AI399" s="869"/>
      <c r="AJ399" s="869"/>
      <c r="AK399" s="869"/>
      <c r="AL399" s="869"/>
      <c r="AM399" s="869"/>
      <c r="AN399" s="869"/>
      <c r="AO399" s="869"/>
      <c r="AP399" s="869"/>
      <c r="AQ399" s="869"/>
      <c r="AR399" s="869"/>
      <c r="AS399" s="869"/>
      <c r="AT399" s="869"/>
      <c r="AU399" s="869"/>
      <c r="AV399" s="869"/>
      <c r="AW399" s="869"/>
      <c r="AX399" s="869"/>
    </row>
    <row r="400" spans="8:8" customHeight="1">
      <c r="A400" s="859"/>
      <c r="B400" s="859"/>
      <c r="C400" s="859"/>
      <c r="D400" s="859"/>
      <c r="E400" s="975"/>
      <c r="F400" s="859"/>
      <c r="G400" s="859"/>
      <c r="H400" s="859"/>
      <c r="I400" s="859"/>
      <c r="J400" s="859"/>
      <c r="K400" s="859"/>
      <c r="L400" s="859"/>
      <c r="M400" s="859"/>
      <c r="N400" s="859"/>
      <c r="O400" s="859"/>
      <c r="P400" s="859"/>
      <c r="Q400" s="859"/>
      <c r="R400" s="859"/>
      <c r="S400" s="859"/>
      <c r="T400" s="859"/>
      <c r="U400" s="859"/>
      <c r="V400" s="859"/>
      <c r="W400" s="859"/>
      <c r="X400" s="859"/>
      <c r="Y400" s="859"/>
      <c r="Z400" s="859"/>
      <c r="AA400" s="859"/>
      <c r="AB400" s="859"/>
      <c r="AC400" s="859"/>
      <c r="AD400" s="859"/>
      <c r="AE400" s="869"/>
      <c r="AF400" s="869"/>
      <c r="AG400" s="869"/>
      <c r="AH400" s="869"/>
      <c r="AI400" s="869"/>
      <c r="AJ400" s="869"/>
      <c r="AK400" s="869"/>
      <c r="AL400" s="869"/>
      <c r="AM400" s="869"/>
      <c r="AN400" s="869"/>
      <c r="AO400" s="869"/>
      <c r="AP400" s="869"/>
      <c r="AQ400" s="869"/>
      <c r="AR400" s="869"/>
      <c r="AS400" s="869"/>
      <c r="AT400" s="869"/>
      <c r="AU400" s="869"/>
      <c r="AV400" s="869"/>
      <c r="AW400" s="869"/>
      <c r="AX400" s="869"/>
    </row>
    <row r="401" spans="8:8" customHeight="1">
      <c r="A401" s="859"/>
      <c r="B401" s="859"/>
      <c r="C401" s="859"/>
      <c r="D401" s="859"/>
      <c r="E401" s="975"/>
      <c r="F401" s="859"/>
      <c r="G401" s="859"/>
      <c r="H401" s="859"/>
      <c r="I401" s="859"/>
      <c r="J401" s="859"/>
      <c r="K401" s="859"/>
      <c r="L401" s="859"/>
      <c r="M401" s="859"/>
      <c r="N401" s="859"/>
      <c r="O401" s="859"/>
      <c r="P401" s="859"/>
      <c r="Q401" s="859"/>
      <c r="R401" s="859"/>
      <c r="S401" s="859"/>
      <c r="T401" s="859"/>
      <c r="U401" s="859"/>
      <c r="V401" s="859"/>
      <c r="W401" s="859"/>
      <c r="X401" s="859"/>
      <c r="Y401" s="859"/>
      <c r="Z401" s="859"/>
      <c r="AA401" s="859"/>
      <c r="AB401" s="859"/>
      <c r="AC401" s="859"/>
      <c r="AD401" s="859"/>
      <c r="AE401" s="869"/>
      <c r="AF401" s="869"/>
      <c r="AG401" s="869"/>
      <c r="AH401" s="869"/>
      <c r="AI401" s="869"/>
      <c r="AJ401" s="869"/>
      <c r="AK401" s="869"/>
      <c r="AL401" s="869"/>
      <c r="AM401" s="869"/>
      <c r="AN401" s="869"/>
      <c r="AO401" s="869"/>
      <c r="AP401" s="869"/>
      <c r="AQ401" s="869"/>
      <c r="AR401" s="869"/>
      <c r="AS401" s="869"/>
      <c r="AT401" s="869"/>
      <c r="AU401" s="869"/>
      <c r="AV401" s="869"/>
      <c r="AW401" s="869"/>
      <c r="AX401" s="869"/>
    </row>
    <row r="402" spans="8:8" customHeight="1">
      <c r="A402" s="859"/>
      <c r="B402" s="859"/>
      <c r="C402" s="859"/>
      <c r="D402" s="859"/>
      <c r="E402" s="975"/>
      <c r="F402" s="859"/>
      <c r="G402" s="859"/>
      <c r="H402" s="859"/>
      <c r="I402" s="859"/>
      <c r="J402" s="859"/>
      <c r="K402" s="859"/>
      <c r="L402" s="859"/>
      <c r="M402" s="859"/>
      <c r="N402" s="859"/>
      <c r="O402" s="859"/>
      <c r="P402" s="859"/>
      <c r="Q402" s="859"/>
      <c r="R402" s="859"/>
      <c r="S402" s="859"/>
      <c r="T402" s="859"/>
      <c r="U402" s="859"/>
      <c r="V402" s="859"/>
      <c r="W402" s="859"/>
      <c r="X402" s="859"/>
      <c r="Y402" s="859"/>
      <c r="Z402" s="859"/>
      <c r="AA402" s="859"/>
      <c r="AB402" s="859"/>
      <c r="AC402" s="859"/>
      <c r="AD402" s="859"/>
      <c r="AE402" s="869"/>
      <c r="AF402" s="869"/>
      <c r="AG402" s="869"/>
      <c r="AH402" s="869"/>
      <c r="AI402" s="869"/>
      <c r="AJ402" s="869"/>
      <c r="AK402" s="869"/>
      <c r="AL402" s="869"/>
      <c r="AM402" s="869"/>
      <c r="AN402" s="869"/>
      <c r="AO402" s="869"/>
      <c r="AP402" s="869"/>
      <c r="AQ402" s="869"/>
      <c r="AR402" s="869"/>
      <c r="AS402" s="869"/>
      <c r="AT402" s="869"/>
      <c r="AU402" s="869"/>
      <c r="AV402" s="869"/>
      <c r="AW402" s="869"/>
      <c r="AX402" s="869"/>
    </row>
    <row r="403" spans="8:8" customHeight="1">
      <c r="A403" s="859"/>
      <c r="B403" s="859"/>
      <c r="C403" s="859"/>
      <c r="D403" s="859"/>
      <c r="E403" s="975"/>
      <c r="F403" s="859"/>
      <c r="G403" s="859"/>
      <c r="H403" s="859"/>
      <c r="I403" s="859"/>
      <c r="J403" s="859"/>
      <c r="K403" s="859"/>
      <c r="L403" s="859"/>
      <c r="M403" s="859"/>
      <c r="N403" s="859"/>
      <c r="O403" s="859"/>
      <c r="P403" s="859"/>
      <c r="Q403" s="859"/>
      <c r="R403" s="859"/>
      <c r="S403" s="859"/>
      <c r="T403" s="859"/>
      <c r="U403" s="859"/>
      <c r="V403" s="859"/>
      <c r="W403" s="859"/>
      <c r="X403" s="859"/>
      <c r="Y403" s="859"/>
      <c r="Z403" s="859"/>
      <c r="AA403" s="859"/>
      <c r="AB403" s="859"/>
      <c r="AC403" s="859"/>
      <c r="AD403" s="859"/>
      <c r="AE403" s="869"/>
      <c r="AF403" s="869"/>
      <c r="AG403" s="869"/>
      <c r="AH403" s="869"/>
      <c r="AI403" s="869"/>
      <c r="AJ403" s="869"/>
      <c r="AK403" s="869"/>
      <c r="AL403" s="869"/>
      <c r="AM403" s="869"/>
      <c r="AN403" s="869"/>
      <c r="AO403" s="869"/>
      <c r="AP403" s="869"/>
      <c r="AQ403" s="869"/>
      <c r="AR403" s="869"/>
      <c r="AS403" s="869"/>
      <c r="AT403" s="869"/>
      <c r="AU403" s="869"/>
      <c r="AV403" s="869"/>
      <c r="AW403" s="869"/>
      <c r="AX403" s="869"/>
    </row>
    <row r="404" spans="8:8" customHeight="1">
      <c r="A404" s="859"/>
      <c r="B404" s="859"/>
      <c r="C404" s="859"/>
      <c r="D404" s="859"/>
      <c r="E404" s="975"/>
      <c r="F404" s="859"/>
      <c r="G404" s="859"/>
      <c r="H404" s="859"/>
      <c r="I404" s="859"/>
      <c r="J404" s="859"/>
      <c r="K404" s="859"/>
      <c r="L404" s="859"/>
      <c r="M404" s="859"/>
      <c r="N404" s="859"/>
      <c r="O404" s="859"/>
      <c r="P404" s="859"/>
      <c r="Q404" s="859"/>
      <c r="R404" s="859"/>
      <c r="S404" s="859"/>
      <c r="T404" s="859"/>
      <c r="U404" s="859"/>
      <c r="V404" s="859"/>
      <c r="W404" s="859"/>
      <c r="X404" s="859"/>
      <c r="Y404" s="859"/>
      <c r="Z404" s="859"/>
      <c r="AA404" s="859"/>
      <c r="AB404" s="859"/>
      <c r="AC404" s="859"/>
      <c r="AD404" s="859"/>
      <c r="AE404" s="869"/>
      <c r="AF404" s="869"/>
      <c r="AG404" s="869"/>
      <c r="AH404" s="869"/>
      <c r="AI404" s="869"/>
      <c r="AJ404" s="869"/>
      <c r="AK404" s="869"/>
      <c r="AL404" s="869"/>
      <c r="AM404" s="869"/>
      <c r="AN404" s="869"/>
      <c r="AO404" s="869"/>
      <c r="AP404" s="869"/>
      <c r="AQ404" s="869"/>
      <c r="AR404" s="869"/>
      <c r="AS404" s="869"/>
      <c r="AT404" s="869"/>
      <c r="AU404" s="869"/>
      <c r="AV404" s="869"/>
      <c r="AW404" s="869"/>
      <c r="AX404" s="869"/>
    </row>
    <row r="405" spans="8:8" customHeight="1">
      <c r="A405" s="859"/>
      <c r="B405" s="859"/>
      <c r="C405" s="859"/>
      <c r="D405" s="859"/>
      <c r="E405" s="975"/>
      <c r="F405" s="859"/>
      <c r="G405" s="859"/>
      <c r="H405" s="859"/>
      <c r="I405" s="859"/>
      <c r="J405" s="859"/>
      <c r="K405" s="859"/>
      <c r="L405" s="859"/>
      <c r="M405" s="859"/>
      <c r="N405" s="859"/>
      <c r="O405" s="859"/>
      <c r="P405" s="859"/>
      <c r="Q405" s="859"/>
      <c r="R405" s="859"/>
      <c r="S405" s="859"/>
      <c r="T405" s="859"/>
      <c r="U405" s="859"/>
      <c r="V405" s="859"/>
      <c r="W405" s="859"/>
      <c r="X405" s="859"/>
      <c r="Y405" s="859"/>
      <c r="Z405" s="859"/>
      <c r="AA405" s="859"/>
      <c r="AB405" s="859"/>
      <c r="AC405" s="859"/>
      <c r="AD405" s="859"/>
      <c r="AE405" s="869"/>
      <c r="AF405" s="869"/>
      <c r="AG405" s="869"/>
      <c r="AH405" s="869"/>
      <c r="AI405" s="869"/>
      <c r="AJ405" s="869"/>
      <c r="AK405" s="869"/>
      <c r="AL405" s="869"/>
      <c r="AM405" s="869"/>
      <c r="AN405" s="869"/>
      <c r="AO405" s="869"/>
      <c r="AP405" s="869"/>
      <c r="AQ405" s="869"/>
      <c r="AR405" s="869"/>
      <c r="AS405" s="869"/>
      <c r="AT405" s="869"/>
      <c r="AU405" s="869"/>
      <c r="AV405" s="869"/>
      <c r="AW405" s="869"/>
      <c r="AX405" s="869"/>
    </row>
    <row r="406" spans="8:8" customHeight="1">
      <c r="A406" s="859"/>
      <c r="B406" s="859"/>
      <c r="C406" s="859"/>
      <c r="D406" s="859"/>
      <c r="E406" s="975"/>
      <c r="F406" s="859"/>
      <c r="G406" s="859"/>
      <c r="H406" s="859"/>
      <c r="I406" s="859"/>
      <c r="J406" s="859"/>
      <c r="K406" s="859"/>
      <c r="L406" s="859"/>
      <c r="M406" s="859"/>
      <c r="N406" s="859"/>
      <c r="O406" s="859"/>
      <c r="P406" s="859"/>
      <c r="Q406" s="859"/>
      <c r="R406" s="859"/>
      <c r="S406" s="859"/>
      <c r="T406" s="859"/>
      <c r="U406" s="859"/>
      <c r="V406" s="859"/>
      <c r="W406" s="859"/>
      <c r="X406" s="859"/>
      <c r="Y406" s="859"/>
      <c r="Z406" s="859"/>
      <c r="AA406" s="859"/>
      <c r="AB406" s="859"/>
      <c r="AC406" s="859"/>
      <c r="AD406" s="859"/>
      <c r="AE406" s="869"/>
      <c r="AF406" s="869"/>
      <c r="AG406" s="869"/>
      <c r="AH406" s="869"/>
      <c r="AI406" s="869"/>
      <c r="AJ406" s="869"/>
      <c r="AK406" s="869"/>
      <c r="AL406" s="869"/>
      <c r="AM406" s="869"/>
      <c r="AN406" s="869"/>
      <c r="AO406" s="869"/>
      <c r="AP406" s="869"/>
      <c r="AQ406" s="869"/>
      <c r="AR406" s="869"/>
      <c r="AS406" s="869"/>
      <c r="AT406" s="869"/>
      <c r="AU406" s="869"/>
      <c r="AV406" s="869"/>
      <c r="AW406" s="869"/>
      <c r="AX406" s="869"/>
    </row>
    <row r="407" spans="8:8" customHeight="1">
      <c r="A407" s="859"/>
      <c r="B407" s="859"/>
      <c r="C407" s="859"/>
      <c r="D407" s="859"/>
      <c r="E407" s="975"/>
      <c r="F407" s="859"/>
      <c r="G407" s="859"/>
      <c r="H407" s="859"/>
      <c r="I407" s="859"/>
      <c r="J407" s="859"/>
      <c r="K407" s="859"/>
      <c r="L407" s="859"/>
      <c r="M407" s="859"/>
      <c r="N407" s="859"/>
      <c r="O407" s="859"/>
      <c r="P407" s="859"/>
      <c r="Q407" s="859"/>
      <c r="R407" s="859"/>
      <c r="S407" s="859"/>
      <c r="T407" s="859"/>
      <c r="U407" s="859"/>
      <c r="V407" s="859"/>
      <c r="W407" s="859"/>
      <c r="X407" s="859"/>
      <c r="Y407" s="859"/>
      <c r="Z407" s="859"/>
      <c r="AA407" s="859"/>
      <c r="AB407" s="859"/>
      <c r="AC407" s="859"/>
      <c r="AD407" s="859"/>
      <c r="AE407" s="869"/>
      <c r="AF407" s="869"/>
      <c r="AG407" s="869"/>
      <c r="AH407" s="869"/>
      <c r="AI407" s="869"/>
      <c r="AJ407" s="869"/>
      <c r="AK407" s="869"/>
      <c r="AL407" s="869"/>
      <c r="AM407" s="869"/>
      <c r="AN407" s="869"/>
      <c r="AO407" s="869"/>
      <c r="AP407" s="869"/>
      <c r="AQ407" s="869"/>
      <c r="AR407" s="869"/>
      <c r="AS407" s="869"/>
      <c r="AT407" s="869"/>
      <c r="AU407" s="869"/>
      <c r="AV407" s="869"/>
      <c r="AW407" s="869"/>
      <c r="AX407" s="869"/>
    </row>
    <row r="408" spans="8:8" customHeight="1">
      <c r="A408" s="859"/>
      <c r="B408" s="859"/>
      <c r="C408" s="859"/>
      <c r="D408" s="859"/>
      <c r="E408" s="975"/>
      <c r="F408" s="859"/>
      <c r="G408" s="859"/>
      <c r="H408" s="859"/>
      <c r="I408" s="859"/>
      <c r="J408" s="859"/>
      <c r="K408" s="859"/>
      <c r="L408" s="859"/>
      <c r="M408" s="859"/>
      <c r="N408" s="859"/>
      <c r="O408" s="859"/>
      <c r="P408" s="859"/>
      <c r="Q408" s="859"/>
      <c r="R408" s="859"/>
      <c r="S408" s="859"/>
      <c r="T408" s="859"/>
      <c r="U408" s="859"/>
      <c r="V408" s="859"/>
      <c r="W408" s="859"/>
      <c r="X408" s="859"/>
      <c r="Y408" s="859"/>
      <c r="Z408" s="859"/>
      <c r="AA408" s="859"/>
      <c r="AB408" s="859"/>
      <c r="AC408" s="859"/>
      <c r="AD408" s="859"/>
      <c r="AE408" s="869"/>
      <c r="AF408" s="869"/>
      <c r="AG408" s="869"/>
      <c r="AH408" s="869"/>
      <c r="AI408" s="869"/>
      <c r="AJ408" s="869"/>
      <c r="AK408" s="869"/>
      <c r="AL408" s="869"/>
      <c r="AM408" s="869"/>
      <c r="AN408" s="869"/>
      <c r="AO408" s="869"/>
      <c r="AP408" s="869"/>
      <c r="AQ408" s="869"/>
      <c r="AR408" s="869"/>
      <c r="AS408" s="869"/>
      <c r="AT408" s="869"/>
      <c r="AU408" s="869"/>
      <c r="AV408" s="869"/>
      <c r="AW408" s="869"/>
      <c r="AX408" s="869"/>
    </row>
    <row r="409" spans="8:8" customHeight="1">
      <c r="A409" s="859"/>
      <c r="B409" s="859"/>
      <c r="C409" s="859"/>
      <c r="D409" s="859"/>
      <c r="E409" s="975"/>
      <c r="F409" s="859"/>
      <c r="G409" s="859"/>
      <c r="H409" s="859"/>
      <c r="I409" s="859"/>
      <c r="J409" s="859"/>
      <c r="K409" s="859"/>
      <c r="L409" s="859"/>
      <c r="M409" s="859"/>
      <c r="N409" s="859"/>
      <c r="O409" s="859"/>
      <c r="P409" s="859"/>
      <c r="Q409" s="859"/>
      <c r="R409" s="859"/>
      <c r="S409" s="859"/>
      <c r="T409" s="859"/>
      <c r="U409" s="859"/>
      <c r="V409" s="859"/>
      <c r="W409" s="859"/>
      <c r="X409" s="859"/>
      <c r="Y409" s="859"/>
      <c r="Z409" s="859"/>
      <c r="AA409" s="859"/>
      <c r="AB409" s="859"/>
      <c r="AC409" s="859"/>
      <c r="AD409" s="859"/>
      <c r="AE409" s="869"/>
      <c r="AF409" s="869"/>
      <c r="AG409" s="869"/>
      <c r="AH409" s="869"/>
      <c r="AI409" s="869"/>
      <c r="AJ409" s="869"/>
      <c r="AK409" s="869"/>
      <c r="AL409" s="869"/>
      <c r="AM409" s="869"/>
      <c r="AN409" s="869"/>
      <c r="AO409" s="869"/>
      <c r="AP409" s="869"/>
      <c r="AQ409" s="869"/>
      <c r="AR409" s="869"/>
      <c r="AS409" s="869"/>
      <c r="AT409" s="869"/>
      <c r="AU409" s="869"/>
      <c r="AV409" s="869"/>
      <c r="AW409" s="869"/>
      <c r="AX409" s="869"/>
    </row>
    <row r="410" spans="8:8" customHeight="1">
      <c r="A410" s="859"/>
      <c r="B410" s="859"/>
      <c r="C410" s="859"/>
      <c r="D410" s="859"/>
      <c r="E410" s="975"/>
      <c r="F410" s="859"/>
      <c r="G410" s="859"/>
      <c r="H410" s="859"/>
      <c r="I410" s="859"/>
      <c r="J410" s="859"/>
      <c r="K410" s="859"/>
      <c r="L410" s="859"/>
      <c r="M410" s="859"/>
      <c r="N410" s="859"/>
      <c r="O410" s="859"/>
      <c r="P410" s="859"/>
      <c r="Q410" s="859"/>
      <c r="R410" s="859"/>
      <c r="S410" s="859"/>
      <c r="T410" s="859"/>
      <c r="U410" s="859"/>
      <c r="V410" s="859"/>
      <c r="W410" s="859"/>
      <c r="X410" s="859"/>
      <c r="Y410" s="859"/>
      <c r="Z410" s="859"/>
      <c r="AA410" s="859"/>
      <c r="AB410" s="859"/>
      <c r="AC410" s="859"/>
      <c r="AD410" s="859"/>
      <c r="AE410" s="869"/>
      <c r="AF410" s="869"/>
      <c r="AG410" s="869"/>
      <c r="AH410" s="869"/>
      <c r="AI410" s="869"/>
      <c r="AJ410" s="869"/>
      <c r="AK410" s="869"/>
      <c r="AL410" s="869"/>
      <c r="AM410" s="869"/>
      <c r="AN410" s="869"/>
      <c r="AO410" s="869"/>
      <c r="AP410" s="869"/>
      <c r="AQ410" s="869"/>
      <c r="AR410" s="869"/>
      <c r="AS410" s="869"/>
      <c r="AT410" s="869"/>
      <c r="AU410" s="869"/>
      <c r="AV410" s="869"/>
      <c r="AW410" s="869"/>
      <c r="AX410" s="869"/>
    </row>
    <row r="411" spans="8:8" customHeight="1">
      <c r="A411" s="859"/>
      <c r="B411" s="859"/>
      <c r="C411" s="859"/>
      <c r="D411" s="859"/>
      <c r="E411" s="975"/>
      <c r="F411" s="859"/>
      <c r="G411" s="859"/>
      <c r="H411" s="859"/>
      <c r="I411" s="859"/>
      <c r="J411" s="859"/>
      <c r="K411" s="859"/>
      <c r="L411" s="859"/>
      <c r="M411" s="859"/>
      <c r="N411" s="859"/>
      <c r="O411" s="859"/>
      <c r="P411" s="859"/>
      <c r="Q411" s="859"/>
      <c r="R411" s="859"/>
      <c r="S411" s="859"/>
      <c r="T411" s="859"/>
      <c r="U411" s="859"/>
      <c r="V411" s="859"/>
      <c r="W411" s="859"/>
      <c r="X411" s="859"/>
      <c r="Y411" s="859"/>
      <c r="Z411" s="859"/>
      <c r="AA411" s="859"/>
      <c r="AB411" s="859"/>
      <c r="AC411" s="859"/>
      <c r="AD411" s="859"/>
      <c r="AE411" s="869"/>
      <c r="AF411" s="869"/>
      <c r="AG411" s="869"/>
      <c r="AH411" s="869"/>
      <c r="AI411" s="869"/>
      <c r="AJ411" s="869"/>
      <c r="AK411" s="869"/>
      <c r="AL411" s="869"/>
      <c r="AM411" s="869"/>
      <c r="AN411" s="869"/>
      <c r="AO411" s="869"/>
      <c r="AP411" s="869"/>
      <c r="AQ411" s="869"/>
      <c r="AR411" s="869"/>
      <c r="AS411" s="869"/>
      <c r="AT411" s="869"/>
      <c r="AU411" s="869"/>
      <c r="AV411" s="869"/>
      <c r="AW411" s="869"/>
      <c r="AX411" s="869"/>
    </row>
    <row r="412" spans="8:8" customHeight="1">
      <c r="A412" s="859"/>
      <c r="B412" s="859"/>
      <c r="C412" s="859"/>
      <c r="D412" s="859"/>
      <c r="E412" s="975"/>
      <c r="F412" s="859"/>
      <c r="G412" s="859"/>
      <c r="H412" s="859"/>
      <c r="I412" s="859"/>
      <c r="J412" s="859"/>
      <c r="K412" s="859"/>
      <c r="L412" s="859"/>
      <c r="M412" s="859"/>
      <c r="N412" s="859"/>
      <c r="O412" s="859"/>
      <c r="P412" s="859"/>
      <c r="Q412" s="859"/>
      <c r="R412" s="859"/>
      <c r="S412" s="859"/>
      <c r="T412" s="859"/>
      <c r="U412" s="859"/>
      <c r="V412" s="859"/>
      <c r="W412" s="859"/>
      <c r="X412" s="859"/>
      <c r="Y412" s="859"/>
      <c r="Z412" s="859"/>
      <c r="AA412" s="859"/>
      <c r="AB412" s="859"/>
      <c r="AC412" s="859"/>
      <c r="AD412" s="859"/>
      <c r="AE412" s="869"/>
      <c r="AF412" s="869"/>
      <c r="AG412" s="869"/>
      <c r="AH412" s="869"/>
      <c r="AI412" s="869"/>
      <c r="AJ412" s="869"/>
      <c r="AK412" s="869"/>
      <c r="AL412" s="869"/>
      <c r="AM412" s="869"/>
      <c r="AN412" s="869"/>
      <c r="AO412" s="869"/>
      <c r="AP412" s="869"/>
      <c r="AQ412" s="869"/>
      <c r="AR412" s="869"/>
      <c r="AS412" s="869"/>
      <c r="AT412" s="869"/>
      <c r="AU412" s="869"/>
      <c r="AV412" s="869"/>
      <c r="AW412" s="869"/>
      <c r="AX412" s="869"/>
    </row>
    <row r="413" spans="8:8" customHeight="1">
      <c r="A413" s="859"/>
      <c r="B413" s="859"/>
      <c r="C413" s="859"/>
      <c r="D413" s="859"/>
      <c r="E413" s="975"/>
      <c r="F413" s="859"/>
      <c r="G413" s="859"/>
      <c r="H413" s="859"/>
      <c r="I413" s="859"/>
      <c r="J413" s="859"/>
      <c r="K413" s="859"/>
      <c r="L413" s="859"/>
      <c r="M413" s="859"/>
      <c r="N413" s="859"/>
      <c r="O413" s="859"/>
      <c r="P413" s="859"/>
      <c r="Q413" s="859"/>
      <c r="R413" s="859"/>
      <c r="S413" s="859"/>
      <c r="T413" s="859"/>
      <c r="U413" s="859"/>
      <c r="V413" s="859"/>
      <c r="W413" s="859"/>
      <c r="X413" s="859"/>
      <c r="Y413" s="859"/>
      <c r="Z413" s="859"/>
      <c r="AA413" s="859"/>
      <c r="AB413" s="859"/>
      <c r="AC413" s="859"/>
      <c r="AD413" s="859"/>
      <c r="AE413" s="869"/>
      <c r="AF413" s="869"/>
      <c r="AG413" s="869"/>
      <c r="AH413" s="869"/>
      <c r="AI413" s="869"/>
      <c r="AJ413" s="869"/>
      <c r="AK413" s="869"/>
      <c r="AL413" s="869"/>
      <c r="AM413" s="869"/>
      <c r="AN413" s="869"/>
      <c r="AO413" s="869"/>
      <c r="AP413" s="869"/>
      <c r="AQ413" s="869"/>
      <c r="AR413" s="869"/>
      <c r="AS413" s="869"/>
      <c r="AT413" s="869"/>
      <c r="AU413" s="869"/>
      <c r="AV413" s="869"/>
      <c r="AW413" s="869"/>
      <c r="AX413" s="869"/>
    </row>
    <row r="414" spans="8:8" customHeight="1">
      <c r="A414" s="859"/>
      <c r="B414" s="859"/>
      <c r="C414" s="859"/>
      <c r="D414" s="859"/>
      <c r="E414" s="975"/>
      <c r="F414" s="859"/>
      <c r="G414" s="859"/>
      <c r="H414" s="859"/>
      <c r="I414" s="859"/>
      <c r="J414" s="859"/>
      <c r="K414" s="859"/>
      <c r="L414" s="859"/>
      <c r="M414" s="859"/>
      <c r="N414" s="859"/>
      <c r="O414" s="859"/>
      <c r="P414" s="859"/>
      <c r="Q414" s="859"/>
      <c r="R414" s="859"/>
      <c r="S414" s="859"/>
      <c r="T414" s="859"/>
      <c r="U414" s="859"/>
      <c r="V414" s="859"/>
      <c r="W414" s="859"/>
      <c r="X414" s="859"/>
      <c r="Y414" s="859"/>
      <c r="Z414" s="859"/>
      <c r="AA414" s="859"/>
      <c r="AB414" s="859"/>
      <c r="AC414" s="859"/>
      <c r="AD414" s="859"/>
      <c r="AE414" s="869"/>
      <c r="AF414" s="869"/>
      <c r="AG414" s="869"/>
      <c r="AH414" s="869"/>
      <c r="AI414" s="869"/>
      <c r="AJ414" s="869"/>
      <c r="AK414" s="869"/>
      <c r="AL414" s="869"/>
      <c r="AM414" s="869"/>
      <c r="AN414" s="869"/>
      <c r="AO414" s="869"/>
      <c r="AP414" s="869"/>
      <c r="AQ414" s="869"/>
      <c r="AR414" s="869"/>
      <c r="AS414" s="869"/>
      <c r="AT414" s="869"/>
      <c r="AU414" s="869"/>
      <c r="AV414" s="869"/>
      <c r="AW414" s="869"/>
      <c r="AX414" s="869"/>
    </row>
    <row r="415" spans="8:8" customHeight="1">
      <c r="A415" s="859"/>
      <c r="B415" s="859"/>
      <c r="C415" s="859"/>
      <c r="D415" s="859"/>
      <c r="E415" s="975"/>
      <c r="F415" s="859"/>
      <c r="G415" s="859"/>
      <c r="H415" s="859"/>
      <c r="I415" s="859"/>
      <c r="J415" s="859"/>
      <c r="K415" s="859"/>
      <c r="L415" s="859"/>
      <c r="M415" s="859"/>
      <c r="N415" s="859"/>
      <c r="O415" s="859"/>
      <c r="P415" s="859"/>
      <c r="Q415" s="859"/>
      <c r="R415" s="859"/>
      <c r="S415" s="859"/>
      <c r="T415" s="859"/>
      <c r="U415" s="859"/>
      <c r="V415" s="859"/>
      <c r="W415" s="859"/>
      <c r="X415" s="859"/>
      <c r="Y415" s="859"/>
      <c r="Z415" s="859"/>
      <c r="AA415" s="859"/>
      <c r="AB415" s="859"/>
      <c r="AC415" s="859"/>
      <c r="AD415" s="859"/>
      <c r="AE415" s="869"/>
      <c r="AF415" s="869"/>
      <c r="AG415" s="869"/>
      <c r="AH415" s="869"/>
      <c r="AI415" s="869"/>
      <c r="AJ415" s="869"/>
      <c r="AK415" s="869"/>
      <c r="AL415" s="869"/>
      <c r="AM415" s="869"/>
      <c r="AN415" s="869"/>
      <c r="AO415" s="869"/>
      <c r="AP415" s="869"/>
      <c r="AQ415" s="869"/>
      <c r="AR415" s="869"/>
      <c r="AS415" s="869"/>
      <c r="AT415" s="869"/>
      <c r="AU415" s="869"/>
      <c r="AV415" s="869"/>
      <c r="AW415" s="869"/>
      <c r="AX415" s="869"/>
    </row>
    <row r="416" spans="8:8" customHeight="1">
      <c r="A416" s="859"/>
      <c r="B416" s="859"/>
      <c r="C416" s="859"/>
      <c r="D416" s="859"/>
      <c r="E416" s="975"/>
      <c r="F416" s="859"/>
      <c r="G416" s="859"/>
      <c r="H416" s="859"/>
      <c r="I416" s="859"/>
      <c r="J416" s="859"/>
      <c r="K416" s="859"/>
      <c r="L416" s="859"/>
      <c r="M416" s="859"/>
      <c r="N416" s="859"/>
      <c r="O416" s="859"/>
      <c r="P416" s="859"/>
      <c r="Q416" s="859"/>
      <c r="R416" s="859"/>
      <c r="S416" s="859"/>
      <c r="T416" s="859"/>
      <c r="U416" s="859"/>
      <c r="V416" s="859"/>
      <c r="W416" s="859"/>
      <c r="X416" s="859"/>
      <c r="Y416" s="859"/>
      <c r="Z416" s="859"/>
      <c r="AA416" s="859"/>
      <c r="AB416" s="859"/>
      <c r="AC416" s="859"/>
      <c r="AD416" s="859"/>
      <c r="AE416" s="869"/>
      <c r="AF416" s="869"/>
      <c r="AG416" s="869"/>
      <c r="AH416" s="869"/>
      <c r="AI416" s="869"/>
      <c r="AJ416" s="869"/>
      <c r="AK416" s="869"/>
      <c r="AL416" s="869"/>
      <c r="AM416" s="869"/>
      <c r="AN416" s="869"/>
      <c r="AO416" s="869"/>
      <c r="AP416" s="869"/>
      <c r="AQ416" s="869"/>
      <c r="AR416" s="869"/>
      <c r="AS416" s="869"/>
      <c r="AT416" s="869"/>
      <c r="AU416" s="869"/>
      <c r="AV416" s="869"/>
      <c r="AW416" s="869"/>
      <c r="AX416" s="869"/>
    </row>
    <row r="417" spans="8:8" customHeight="1">
      <c r="A417" s="859"/>
      <c r="B417" s="859"/>
      <c r="C417" s="859"/>
      <c r="D417" s="859"/>
      <c r="E417" s="975"/>
      <c r="F417" s="859"/>
      <c r="G417" s="859"/>
      <c r="H417" s="859"/>
      <c r="I417" s="859"/>
      <c r="J417" s="859"/>
      <c r="K417" s="859"/>
      <c r="L417" s="859"/>
      <c r="M417" s="859"/>
      <c r="N417" s="859"/>
      <c r="O417" s="859"/>
      <c r="P417" s="859"/>
      <c r="Q417" s="859"/>
      <c r="R417" s="859"/>
      <c r="S417" s="859"/>
      <c r="T417" s="859"/>
      <c r="U417" s="859"/>
      <c r="V417" s="859"/>
      <c r="W417" s="859"/>
      <c r="X417" s="859"/>
      <c r="Y417" s="859"/>
      <c r="Z417" s="859"/>
      <c r="AA417" s="859"/>
      <c r="AB417" s="859"/>
      <c r="AC417" s="859"/>
      <c r="AD417" s="859"/>
      <c r="AE417" s="869"/>
      <c r="AF417" s="869"/>
      <c r="AG417" s="869"/>
      <c r="AH417" s="869"/>
      <c r="AI417" s="869"/>
      <c r="AJ417" s="869"/>
      <c r="AK417" s="869"/>
      <c r="AL417" s="869"/>
      <c r="AM417" s="869"/>
      <c r="AN417" s="869"/>
      <c r="AO417" s="869"/>
      <c r="AP417" s="869"/>
      <c r="AQ417" s="869"/>
      <c r="AR417" s="869"/>
      <c r="AS417" s="869"/>
      <c r="AT417" s="869"/>
      <c r="AU417" s="869"/>
      <c r="AV417" s="869"/>
      <c r="AW417" s="869"/>
      <c r="AX417" s="869"/>
    </row>
    <row r="418" spans="8:8" customHeight="1">
      <c r="A418" s="859"/>
      <c r="B418" s="859"/>
      <c r="C418" s="859"/>
      <c r="D418" s="859"/>
      <c r="E418" s="975"/>
      <c r="F418" s="859"/>
      <c r="G418" s="859"/>
      <c r="H418" s="859"/>
      <c r="I418" s="859"/>
      <c r="J418" s="859"/>
      <c r="K418" s="859"/>
      <c r="L418" s="859"/>
      <c r="M418" s="859"/>
      <c r="N418" s="859"/>
      <c r="O418" s="859"/>
      <c r="P418" s="859"/>
      <c r="Q418" s="859"/>
      <c r="R418" s="859"/>
      <c r="S418" s="859"/>
      <c r="T418" s="859"/>
      <c r="U418" s="859"/>
      <c r="V418" s="859"/>
      <c r="W418" s="859"/>
      <c r="X418" s="859"/>
      <c r="Y418" s="859"/>
      <c r="Z418" s="859"/>
      <c r="AA418" s="859"/>
      <c r="AB418" s="859"/>
      <c r="AC418" s="859"/>
      <c r="AD418" s="859"/>
      <c r="AE418" s="869"/>
      <c r="AF418" s="869"/>
      <c r="AG418" s="869"/>
      <c r="AH418" s="869"/>
      <c r="AI418" s="869"/>
      <c r="AJ418" s="869"/>
      <c r="AK418" s="869"/>
      <c r="AL418" s="869"/>
      <c r="AM418" s="869"/>
      <c r="AN418" s="869"/>
      <c r="AO418" s="869"/>
      <c r="AP418" s="869"/>
      <c r="AQ418" s="869"/>
      <c r="AR418" s="869"/>
      <c r="AS418" s="869"/>
      <c r="AT418" s="869"/>
      <c r="AU418" s="869"/>
      <c r="AV418" s="869"/>
      <c r="AW418" s="869"/>
      <c r="AX418" s="869"/>
    </row>
    <row r="419" spans="8:8" customHeight="1">
      <c r="A419" s="859"/>
      <c r="B419" s="859"/>
      <c r="C419" s="859"/>
      <c r="D419" s="859"/>
      <c r="E419" s="975"/>
      <c r="F419" s="859"/>
      <c r="G419" s="859"/>
      <c r="H419" s="859"/>
      <c r="I419" s="859"/>
      <c r="J419" s="859"/>
      <c r="K419" s="859"/>
      <c r="L419" s="859"/>
      <c r="M419" s="859"/>
      <c r="N419" s="859"/>
      <c r="O419" s="859"/>
      <c r="P419" s="859"/>
      <c r="Q419" s="859"/>
      <c r="R419" s="859"/>
      <c r="S419" s="859"/>
      <c r="T419" s="859"/>
      <c r="U419" s="859"/>
      <c r="V419" s="859"/>
      <c r="W419" s="859"/>
      <c r="X419" s="859"/>
      <c r="Y419" s="859"/>
      <c r="Z419" s="859"/>
      <c r="AA419" s="859"/>
      <c r="AB419" s="859"/>
      <c r="AC419" s="859"/>
      <c r="AD419" s="859"/>
      <c r="AE419" s="869"/>
      <c r="AF419" s="869"/>
      <c r="AG419" s="869"/>
      <c r="AH419" s="869"/>
      <c r="AI419" s="869"/>
      <c r="AJ419" s="869"/>
      <c r="AK419" s="869"/>
      <c r="AL419" s="869"/>
      <c r="AM419" s="869"/>
      <c r="AN419" s="869"/>
      <c r="AO419" s="869"/>
      <c r="AP419" s="869"/>
      <c r="AQ419" s="869"/>
      <c r="AR419" s="869"/>
      <c r="AS419" s="869"/>
      <c r="AT419" s="869"/>
      <c r="AU419" s="869"/>
      <c r="AV419" s="869"/>
      <c r="AW419" s="869"/>
      <c r="AX419" s="869"/>
    </row>
    <row r="420" spans="8:8" customHeight="1">
      <c r="A420" s="859"/>
      <c r="B420" s="859"/>
      <c r="C420" s="859"/>
      <c r="D420" s="859"/>
      <c r="E420" s="975"/>
      <c r="F420" s="859"/>
      <c r="G420" s="859"/>
      <c r="H420" s="859"/>
      <c r="I420" s="859"/>
      <c r="J420" s="859"/>
      <c r="K420" s="859"/>
      <c r="L420" s="859"/>
      <c r="M420" s="859"/>
      <c r="N420" s="859"/>
      <c r="O420" s="859"/>
      <c r="P420" s="859"/>
      <c r="Q420" s="859"/>
      <c r="R420" s="859"/>
      <c r="S420" s="859"/>
      <c r="T420" s="859"/>
      <c r="U420" s="859"/>
      <c r="V420" s="859"/>
      <c r="W420" s="859"/>
      <c r="X420" s="859"/>
      <c r="Y420" s="859"/>
      <c r="Z420" s="859"/>
      <c r="AA420" s="859"/>
      <c r="AB420" s="859"/>
      <c r="AC420" s="859"/>
      <c r="AD420" s="859"/>
      <c r="AE420" s="869"/>
      <c r="AF420" s="869"/>
      <c r="AG420" s="869"/>
      <c r="AH420" s="869"/>
      <c r="AI420" s="869"/>
      <c r="AJ420" s="869"/>
      <c r="AK420" s="869"/>
      <c r="AL420" s="869"/>
      <c r="AM420" s="869"/>
      <c r="AN420" s="869"/>
      <c r="AO420" s="869"/>
      <c r="AP420" s="869"/>
      <c r="AQ420" s="869"/>
      <c r="AR420" s="869"/>
      <c r="AS420" s="869"/>
      <c r="AT420" s="869"/>
      <c r="AU420" s="869"/>
      <c r="AV420" s="869"/>
      <c r="AW420" s="869"/>
      <c r="AX420" s="869"/>
    </row>
    <row r="421" spans="8:8" customHeight="1">
      <c r="A421" s="859"/>
      <c r="B421" s="859"/>
      <c r="C421" s="859"/>
      <c r="D421" s="859"/>
      <c r="E421" s="975"/>
      <c r="F421" s="859"/>
      <c r="G421" s="859"/>
      <c r="H421" s="859"/>
      <c r="I421" s="859"/>
      <c r="J421" s="859"/>
      <c r="K421" s="859"/>
      <c r="L421" s="859"/>
      <c r="M421" s="859"/>
      <c r="N421" s="859"/>
      <c r="O421" s="859"/>
      <c r="P421" s="859"/>
      <c r="Q421" s="859"/>
      <c r="R421" s="859"/>
      <c r="S421" s="859"/>
      <c r="T421" s="859"/>
      <c r="U421" s="859"/>
      <c r="V421" s="859"/>
      <c r="W421" s="859"/>
      <c r="X421" s="859"/>
      <c r="Y421" s="859"/>
      <c r="Z421" s="859"/>
      <c r="AA421" s="859"/>
      <c r="AB421" s="859"/>
      <c r="AC421" s="859"/>
      <c r="AD421" s="859"/>
      <c r="AE421" s="869"/>
      <c r="AF421" s="869"/>
      <c r="AG421" s="869"/>
      <c r="AH421" s="869"/>
      <c r="AI421" s="869"/>
      <c r="AJ421" s="869"/>
      <c r="AK421" s="869"/>
      <c r="AL421" s="869"/>
      <c r="AM421" s="869"/>
      <c r="AN421" s="869"/>
      <c r="AO421" s="869"/>
      <c r="AP421" s="869"/>
      <c r="AQ421" s="869"/>
      <c r="AR421" s="869"/>
      <c r="AS421" s="869"/>
      <c r="AT421" s="869"/>
      <c r="AU421" s="869"/>
      <c r="AV421" s="869"/>
      <c r="AW421" s="869"/>
      <c r="AX421" s="869"/>
    </row>
    <row r="422" spans="8:8" customHeight="1">
      <c r="A422" s="859"/>
      <c r="B422" s="859"/>
      <c r="C422" s="859"/>
      <c r="D422" s="859"/>
      <c r="E422" s="975"/>
      <c r="F422" s="859"/>
      <c r="G422" s="859"/>
      <c r="H422" s="859"/>
      <c r="I422" s="859"/>
      <c r="J422" s="859"/>
      <c r="K422" s="859"/>
      <c r="L422" s="859"/>
      <c r="M422" s="859"/>
      <c r="N422" s="859"/>
      <c r="O422" s="859"/>
      <c r="P422" s="859"/>
      <c r="Q422" s="859"/>
      <c r="R422" s="859"/>
      <c r="S422" s="859"/>
      <c r="T422" s="859"/>
      <c r="U422" s="859"/>
      <c r="V422" s="859"/>
      <c r="W422" s="859"/>
      <c r="X422" s="859"/>
      <c r="Y422" s="859"/>
      <c r="Z422" s="859"/>
      <c r="AA422" s="859"/>
      <c r="AB422" s="859"/>
      <c r="AC422" s="859"/>
      <c r="AD422" s="859"/>
      <c r="AE422" s="869"/>
      <c r="AF422" s="869"/>
      <c r="AG422" s="869"/>
      <c r="AH422" s="869"/>
      <c r="AI422" s="869"/>
      <c r="AJ422" s="869"/>
      <c r="AK422" s="869"/>
      <c r="AL422" s="869"/>
      <c r="AM422" s="869"/>
      <c r="AN422" s="869"/>
      <c r="AO422" s="869"/>
      <c r="AP422" s="869"/>
      <c r="AQ422" s="869"/>
      <c r="AR422" s="869"/>
      <c r="AS422" s="869"/>
      <c r="AT422" s="869"/>
      <c r="AU422" s="869"/>
      <c r="AV422" s="869"/>
      <c r="AW422" s="869"/>
      <c r="AX422" s="869"/>
    </row>
    <row r="423" spans="8:8" customHeight="1">
      <c r="A423" s="859"/>
      <c r="B423" s="859"/>
      <c r="C423" s="859"/>
      <c r="D423" s="859"/>
      <c r="E423" s="975"/>
      <c r="F423" s="859"/>
      <c r="G423" s="859"/>
      <c r="H423" s="859"/>
      <c r="I423" s="859"/>
      <c r="J423" s="859"/>
      <c r="K423" s="859"/>
      <c r="L423" s="859"/>
      <c r="M423" s="859"/>
      <c r="N423" s="859"/>
      <c r="O423" s="859"/>
      <c r="P423" s="859"/>
      <c r="Q423" s="859"/>
      <c r="R423" s="859"/>
      <c r="S423" s="859"/>
      <c r="T423" s="859"/>
      <c r="U423" s="859"/>
      <c r="V423" s="859"/>
      <c r="W423" s="859"/>
      <c r="X423" s="859"/>
      <c r="Y423" s="859"/>
      <c r="Z423" s="859"/>
      <c r="AA423" s="859"/>
      <c r="AB423" s="859"/>
      <c r="AC423" s="859"/>
      <c r="AD423" s="859"/>
      <c r="AE423" s="869"/>
      <c r="AF423" s="869"/>
      <c r="AG423" s="869"/>
      <c r="AH423" s="869"/>
      <c r="AI423" s="869"/>
      <c r="AJ423" s="869"/>
      <c r="AK423" s="869"/>
      <c r="AL423" s="869"/>
      <c r="AM423" s="869"/>
      <c r="AN423" s="869"/>
      <c r="AO423" s="869"/>
      <c r="AP423" s="869"/>
      <c r="AQ423" s="869"/>
      <c r="AR423" s="869"/>
      <c r="AS423" s="869"/>
      <c r="AT423" s="869"/>
      <c r="AU423" s="869"/>
      <c r="AV423" s="869"/>
      <c r="AW423" s="869"/>
      <c r="AX423" s="869"/>
    </row>
    <row r="424" spans="8:8" customHeight="1">
      <c r="A424" s="859"/>
      <c r="B424" s="859"/>
      <c r="C424" s="859"/>
      <c r="D424" s="859"/>
      <c r="E424" s="975"/>
      <c r="F424" s="859"/>
      <c r="G424" s="859"/>
      <c r="H424" s="859"/>
      <c r="I424" s="859"/>
      <c r="J424" s="859"/>
      <c r="K424" s="859"/>
      <c r="L424" s="859"/>
      <c r="M424" s="859"/>
      <c r="N424" s="859"/>
      <c r="O424" s="859"/>
      <c r="P424" s="859"/>
      <c r="Q424" s="859"/>
      <c r="R424" s="859"/>
      <c r="S424" s="859"/>
      <c r="T424" s="859"/>
      <c r="U424" s="859"/>
      <c r="V424" s="859"/>
      <c r="W424" s="859"/>
      <c r="X424" s="859"/>
      <c r="Y424" s="859"/>
      <c r="Z424" s="859"/>
      <c r="AA424" s="859"/>
      <c r="AB424" s="859"/>
      <c r="AC424" s="859"/>
      <c r="AD424" s="859"/>
      <c r="AE424" s="869"/>
      <c r="AF424" s="869"/>
      <c r="AG424" s="869"/>
      <c r="AH424" s="869"/>
      <c r="AI424" s="869"/>
      <c r="AJ424" s="869"/>
      <c r="AK424" s="869"/>
      <c r="AL424" s="869"/>
      <c r="AM424" s="869"/>
      <c r="AN424" s="869"/>
      <c r="AO424" s="869"/>
      <c r="AP424" s="869"/>
      <c r="AQ424" s="869"/>
      <c r="AR424" s="869"/>
      <c r="AS424" s="869"/>
      <c r="AT424" s="869"/>
      <c r="AU424" s="869"/>
      <c r="AV424" s="869"/>
      <c r="AW424" s="869"/>
      <c r="AX424" s="869"/>
    </row>
    <row r="425" spans="8:8" customHeight="1">
      <c r="A425" s="859"/>
      <c r="B425" s="859"/>
      <c r="C425" s="859"/>
      <c r="D425" s="859"/>
      <c r="E425" s="975"/>
      <c r="F425" s="859"/>
      <c r="G425" s="859"/>
      <c r="H425" s="859"/>
      <c r="I425" s="859"/>
      <c r="J425" s="859"/>
      <c r="K425" s="859"/>
      <c r="L425" s="859"/>
      <c r="M425" s="859"/>
      <c r="N425" s="859"/>
      <c r="O425" s="859"/>
      <c r="P425" s="859"/>
      <c r="Q425" s="859"/>
      <c r="R425" s="859"/>
      <c r="S425" s="859"/>
      <c r="T425" s="859"/>
      <c r="U425" s="859"/>
      <c r="V425" s="859"/>
      <c r="W425" s="859"/>
      <c r="X425" s="859"/>
      <c r="Y425" s="859"/>
      <c r="Z425" s="859"/>
      <c r="AA425" s="859"/>
      <c r="AB425" s="859"/>
      <c r="AC425" s="859"/>
      <c r="AD425" s="859"/>
      <c r="AE425" s="869"/>
      <c r="AF425" s="869"/>
      <c r="AG425" s="869"/>
      <c r="AH425" s="869"/>
      <c r="AI425" s="869"/>
      <c r="AJ425" s="869"/>
      <c r="AK425" s="869"/>
      <c r="AL425" s="869"/>
      <c r="AM425" s="869"/>
      <c r="AN425" s="869"/>
      <c r="AO425" s="869"/>
      <c r="AP425" s="869"/>
      <c r="AQ425" s="869"/>
      <c r="AR425" s="869"/>
      <c r="AS425" s="869"/>
      <c r="AT425" s="869"/>
      <c r="AU425" s="869"/>
      <c r="AV425" s="869"/>
      <c r="AW425" s="869"/>
      <c r="AX425" s="869"/>
    </row>
    <row r="426" spans="8:8" customHeight="1">
      <c r="A426" s="859"/>
      <c r="B426" s="859"/>
      <c r="C426" s="859"/>
      <c r="D426" s="859"/>
      <c r="E426" s="975"/>
      <c r="F426" s="859"/>
      <c r="G426" s="859"/>
      <c r="H426" s="859"/>
      <c r="I426" s="859"/>
      <c r="J426" s="859"/>
      <c r="K426" s="859"/>
      <c r="L426" s="859"/>
      <c r="M426" s="859"/>
      <c r="N426" s="859"/>
      <c r="O426" s="859"/>
      <c r="P426" s="859"/>
      <c r="Q426" s="859"/>
      <c r="R426" s="859"/>
      <c r="S426" s="859"/>
      <c r="T426" s="859"/>
      <c r="U426" s="859"/>
      <c r="V426" s="859"/>
      <c r="W426" s="859"/>
      <c r="X426" s="859"/>
      <c r="Y426" s="859"/>
      <c r="Z426" s="859"/>
      <c r="AA426" s="859"/>
      <c r="AB426" s="859"/>
      <c r="AC426" s="859"/>
      <c r="AD426" s="859"/>
      <c r="AE426" s="869"/>
      <c r="AF426" s="869"/>
      <c r="AG426" s="869"/>
      <c r="AH426" s="869"/>
      <c r="AI426" s="869"/>
      <c r="AJ426" s="869"/>
      <c r="AK426" s="869"/>
      <c r="AL426" s="869"/>
      <c r="AM426" s="869"/>
      <c r="AN426" s="869"/>
      <c r="AO426" s="869"/>
      <c r="AP426" s="869"/>
      <c r="AQ426" s="869"/>
      <c r="AR426" s="869"/>
      <c r="AS426" s="869"/>
      <c r="AT426" s="869"/>
      <c r="AU426" s="869"/>
      <c r="AV426" s="869"/>
      <c r="AW426" s="869"/>
      <c r="AX426" s="869"/>
    </row>
    <row r="427" spans="8:8" customHeight="1">
      <c r="A427" s="859"/>
      <c r="B427" s="859"/>
      <c r="C427" s="859"/>
      <c r="D427" s="859"/>
      <c r="E427" s="975"/>
      <c r="F427" s="859"/>
      <c r="G427" s="859"/>
      <c r="H427" s="859"/>
      <c r="I427" s="859"/>
      <c r="J427" s="859"/>
      <c r="K427" s="859"/>
      <c r="L427" s="859"/>
      <c r="M427" s="859"/>
      <c r="N427" s="859"/>
      <c r="O427" s="859"/>
      <c r="P427" s="859"/>
      <c r="Q427" s="859"/>
      <c r="R427" s="859"/>
      <c r="S427" s="859"/>
      <c r="T427" s="859"/>
      <c r="U427" s="859"/>
      <c r="V427" s="859"/>
      <c r="W427" s="859"/>
      <c r="X427" s="859"/>
      <c r="Y427" s="859"/>
      <c r="Z427" s="859"/>
      <c r="AA427" s="859"/>
      <c r="AB427" s="859"/>
      <c r="AC427" s="859"/>
      <c r="AD427" s="859"/>
      <c r="AE427" s="869"/>
      <c r="AF427" s="869"/>
      <c r="AG427" s="869"/>
      <c r="AH427" s="869"/>
      <c r="AI427" s="869"/>
      <c r="AJ427" s="869"/>
      <c r="AK427" s="869"/>
      <c r="AL427" s="869"/>
      <c r="AM427" s="869"/>
      <c r="AN427" s="869"/>
      <c r="AO427" s="869"/>
      <c r="AP427" s="869"/>
      <c r="AQ427" s="869"/>
      <c r="AR427" s="869"/>
      <c r="AS427" s="869"/>
      <c r="AT427" s="869"/>
      <c r="AU427" s="869"/>
      <c r="AV427" s="869"/>
      <c r="AW427" s="869"/>
      <c r="AX427" s="869"/>
    </row>
    <row r="428" spans="8:8" customHeight="1">
      <c r="A428" s="859"/>
      <c r="B428" s="859"/>
      <c r="C428" s="859"/>
      <c r="D428" s="859"/>
      <c r="E428" s="975"/>
      <c r="F428" s="859"/>
      <c r="G428" s="859"/>
      <c r="H428" s="859"/>
      <c r="I428" s="859"/>
      <c r="J428" s="859"/>
      <c r="K428" s="859"/>
      <c r="L428" s="859"/>
      <c r="M428" s="859"/>
      <c r="N428" s="859"/>
      <c r="O428" s="859"/>
      <c r="P428" s="859"/>
      <c r="Q428" s="859"/>
      <c r="R428" s="859"/>
      <c r="S428" s="859"/>
      <c r="T428" s="859"/>
      <c r="U428" s="859"/>
      <c r="V428" s="859"/>
      <c r="W428" s="859"/>
      <c r="X428" s="859"/>
      <c r="Y428" s="859"/>
      <c r="Z428" s="859"/>
      <c r="AA428" s="859"/>
      <c r="AB428" s="859"/>
      <c r="AC428" s="859"/>
      <c r="AD428" s="859"/>
      <c r="AE428" s="869"/>
      <c r="AF428" s="869"/>
      <c r="AG428" s="869"/>
      <c r="AH428" s="869"/>
      <c r="AI428" s="869"/>
      <c r="AJ428" s="869"/>
      <c r="AK428" s="869"/>
      <c r="AL428" s="869"/>
      <c r="AM428" s="869"/>
      <c r="AN428" s="869"/>
      <c r="AO428" s="869"/>
      <c r="AP428" s="869"/>
      <c r="AQ428" s="869"/>
      <c r="AR428" s="869"/>
      <c r="AS428" s="869"/>
      <c r="AT428" s="869"/>
      <c r="AU428" s="869"/>
      <c r="AV428" s="869"/>
      <c r="AW428" s="869"/>
      <c r="AX428" s="869"/>
    </row>
    <row r="429" spans="8:8" customHeight="1">
      <c r="A429" s="859"/>
      <c r="B429" s="859"/>
      <c r="C429" s="859"/>
      <c r="D429" s="859"/>
      <c r="E429" s="975"/>
      <c r="F429" s="859"/>
      <c r="G429" s="859"/>
      <c r="H429" s="859"/>
      <c r="I429" s="859"/>
      <c r="J429" s="859"/>
      <c r="K429" s="859"/>
      <c r="L429" s="859"/>
      <c r="M429" s="859"/>
      <c r="N429" s="859"/>
      <c r="O429" s="859"/>
      <c r="P429" s="859"/>
      <c r="Q429" s="859"/>
      <c r="R429" s="859"/>
      <c r="S429" s="859"/>
      <c r="T429" s="859"/>
      <c r="U429" s="859"/>
      <c r="V429" s="859"/>
      <c r="W429" s="859"/>
      <c r="X429" s="859"/>
      <c r="Y429" s="859"/>
      <c r="Z429" s="859"/>
      <c r="AA429" s="859"/>
      <c r="AB429" s="859"/>
      <c r="AC429" s="859"/>
      <c r="AD429" s="859"/>
      <c r="AE429" s="869"/>
      <c r="AF429" s="869"/>
      <c r="AG429" s="869"/>
      <c r="AH429" s="869"/>
      <c r="AI429" s="869"/>
      <c r="AJ429" s="869"/>
      <c r="AK429" s="869"/>
      <c r="AL429" s="869"/>
      <c r="AM429" s="869"/>
      <c r="AN429" s="869"/>
      <c r="AO429" s="869"/>
      <c r="AP429" s="869"/>
      <c r="AQ429" s="869"/>
      <c r="AR429" s="869"/>
      <c r="AS429" s="869"/>
      <c r="AT429" s="869"/>
      <c r="AU429" s="869"/>
      <c r="AV429" s="869"/>
      <c r="AW429" s="869"/>
      <c r="AX429" s="869"/>
    </row>
    <row r="430" spans="8:8" customHeight="1">
      <c r="A430" s="859"/>
      <c r="B430" s="859"/>
      <c r="C430" s="859"/>
      <c r="D430" s="859"/>
      <c r="E430" s="975"/>
      <c r="F430" s="859"/>
      <c r="G430" s="859"/>
      <c r="H430" s="859"/>
      <c r="I430" s="859"/>
      <c r="J430" s="859"/>
      <c r="K430" s="859"/>
      <c r="L430" s="859"/>
      <c r="M430" s="859"/>
      <c r="N430" s="859"/>
      <c r="O430" s="859"/>
      <c r="P430" s="859"/>
      <c r="Q430" s="859"/>
      <c r="R430" s="859"/>
      <c r="S430" s="859"/>
      <c r="T430" s="859"/>
      <c r="U430" s="859"/>
      <c r="V430" s="859"/>
      <c r="W430" s="859"/>
      <c r="X430" s="859"/>
      <c r="Y430" s="859"/>
      <c r="Z430" s="859"/>
      <c r="AA430" s="859"/>
      <c r="AB430" s="859"/>
      <c r="AC430" s="859"/>
      <c r="AD430" s="859"/>
      <c r="AE430" s="869"/>
      <c r="AF430" s="869"/>
      <c r="AG430" s="869"/>
      <c r="AH430" s="869"/>
      <c r="AI430" s="869"/>
      <c r="AJ430" s="869"/>
      <c r="AK430" s="869"/>
      <c r="AL430" s="869"/>
      <c r="AM430" s="869"/>
      <c r="AN430" s="869"/>
      <c r="AO430" s="869"/>
      <c r="AP430" s="869"/>
      <c r="AQ430" s="869"/>
      <c r="AR430" s="869"/>
      <c r="AS430" s="869"/>
      <c r="AT430" s="869"/>
      <c r="AU430" s="869"/>
      <c r="AV430" s="869"/>
      <c r="AW430" s="869"/>
      <c r="AX430" s="869"/>
    </row>
    <row r="431" spans="8:8" customHeight="1">
      <c r="A431" s="859"/>
      <c r="B431" s="859"/>
      <c r="C431" s="859"/>
      <c r="D431" s="859"/>
      <c r="E431" s="975"/>
      <c r="F431" s="859"/>
      <c r="G431" s="859"/>
      <c r="H431" s="859"/>
      <c r="I431" s="859"/>
      <c r="J431" s="859"/>
      <c r="K431" s="859"/>
      <c r="L431" s="859"/>
      <c r="M431" s="859"/>
      <c r="N431" s="859"/>
      <c r="O431" s="859"/>
      <c r="P431" s="859"/>
      <c r="Q431" s="859"/>
      <c r="R431" s="859"/>
      <c r="S431" s="859"/>
      <c r="T431" s="859"/>
      <c r="U431" s="859"/>
      <c r="V431" s="859"/>
      <c r="W431" s="859"/>
      <c r="X431" s="859"/>
      <c r="Y431" s="859"/>
      <c r="Z431" s="859"/>
      <c r="AA431" s="859"/>
      <c r="AB431" s="859"/>
      <c r="AC431" s="859"/>
      <c r="AD431" s="859"/>
      <c r="AE431" s="869"/>
      <c r="AF431" s="869"/>
      <c r="AG431" s="869"/>
      <c r="AH431" s="869"/>
      <c r="AI431" s="869"/>
      <c r="AJ431" s="869"/>
      <c r="AK431" s="869"/>
      <c r="AL431" s="869"/>
      <c r="AM431" s="869"/>
      <c r="AN431" s="869"/>
      <c r="AO431" s="869"/>
      <c r="AP431" s="869"/>
      <c r="AQ431" s="869"/>
      <c r="AR431" s="869"/>
      <c r="AS431" s="869"/>
      <c r="AT431" s="869"/>
      <c r="AU431" s="869"/>
      <c r="AV431" s="869"/>
      <c r="AW431" s="869"/>
      <c r="AX431" s="869"/>
    </row>
    <row r="432" spans="8:8" customHeight="1">
      <c r="A432" s="859"/>
      <c r="B432" s="859"/>
      <c r="C432" s="859"/>
      <c r="D432" s="859"/>
      <c r="E432" s="975"/>
      <c r="F432" s="859"/>
      <c r="G432" s="859"/>
      <c r="H432" s="859"/>
      <c r="I432" s="859"/>
      <c r="J432" s="859"/>
      <c r="K432" s="859"/>
      <c r="L432" s="859"/>
      <c r="M432" s="859"/>
      <c r="N432" s="859"/>
      <c r="O432" s="859"/>
      <c r="P432" s="859"/>
      <c r="Q432" s="859"/>
      <c r="R432" s="859"/>
      <c r="S432" s="859"/>
      <c r="T432" s="859"/>
      <c r="U432" s="859"/>
      <c r="V432" s="859"/>
      <c r="W432" s="859"/>
      <c r="X432" s="859"/>
      <c r="Y432" s="859"/>
      <c r="Z432" s="859"/>
      <c r="AA432" s="859"/>
      <c r="AB432" s="859"/>
      <c r="AC432" s="859"/>
      <c r="AD432" s="859"/>
      <c r="AE432" s="869"/>
      <c r="AF432" s="869"/>
      <c r="AG432" s="869"/>
      <c r="AH432" s="869"/>
      <c r="AI432" s="869"/>
      <c r="AJ432" s="869"/>
      <c r="AK432" s="869"/>
      <c r="AL432" s="869"/>
      <c r="AM432" s="869"/>
      <c r="AN432" s="869"/>
      <c r="AO432" s="869"/>
      <c r="AP432" s="869"/>
      <c r="AQ432" s="869"/>
      <c r="AR432" s="869"/>
      <c r="AS432" s="869"/>
      <c r="AT432" s="869"/>
      <c r="AU432" s="869"/>
      <c r="AV432" s="869"/>
      <c r="AW432" s="869"/>
      <c r="AX432" s="869"/>
    </row>
    <row r="433" spans="8:8" customHeight="1">
      <c r="A433" s="859"/>
      <c r="B433" s="859"/>
      <c r="C433" s="859"/>
      <c r="D433" s="859"/>
      <c r="E433" s="975"/>
      <c r="F433" s="859"/>
      <c r="G433" s="859"/>
      <c r="H433" s="859"/>
      <c r="I433" s="859"/>
      <c r="J433" s="859"/>
      <c r="K433" s="859"/>
      <c r="L433" s="859"/>
      <c r="M433" s="859"/>
      <c r="N433" s="859"/>
      <c r="O433" s="859"/>
      <c r="P433" s="859"/>
      <c r="Q433" s="859"/>
      <c r="R433" s="859"/>
      <c r="S433" s="859"/>
      <c r="T433" s="859"/>
      <c r="U433" s="859"/>
      <c r="V433" s="859"/>
      <c r="W433" s="859"/>
      <c r="X433" s="859"/>
      <c r="Y433" s="859"/>
      <c r="Z433" s="859"/>
      <c r="AA433" s="859"/>
      <c r="AB433" s="859"/>
      <c r="AC433" s="859"/>
      <c r="AD433" s="859"/>
      <c r="AE433" s="869"/>
      <c r="AF433" s="869"/>
      <c r="AG433" s="869"/>
      <c r="AH433" s="869"/>
      <c r="AI433" s="869"/>
      <c r="AJ433" s="869"/>
      <c r="AK433" s="869"/>
      <c r="AL433" s="869"/>
      <c r="AM433" s="869"/>
      <c r="AN433" s="869"/>
      <c r="AO433" s="869"/>
      <c r="AP433" s="869"/>
      <c r="AQ433" s="869"/>
      <c r="AR433" s="869"/>
      <c r="AS433" s="869"/>
      <c r="AT433" s="869"/>
      <c r="AU433" s="869"/>
      <c r="AV433" s="869"/>
      <c r="AW433" s="869"/>
      <c r="AX433" s="869"/>
    </row>
    <row r="434" spans="8:8" customHeight="1">
      <c r="A434" s="859"/>
      <c r="B434" s="859"/>
      <c r="C434" s="859"/>
      <c r="D434" s="859"/>
      <c r="E434" s="975"/>
      <c r="F434" s="859"/>
      <c r="G434" s="859"/>
      <c r="H434" s="859"/>
      <c r="I434" s="859"/>
      <c r="J434" s="859"/>
      <c r="K434" s="859"/>
      <c r="L434" s="859"/>
      <c r="M434" s="859"/>
      <c r="N434" s="859"/>
      <c r="O434" s="859"/>
      <c r="P434" s="859"/>
      <c r="Q434" s="859"/>
      <c r="R434" s="859"/>
      <c r="S434" s="859"/>
      <c r="T434" s="859"/>
      <c r="U434" s="859"/>
      <c r="V434" s="859"/>
      <c r="W434" s="859"/>
      <c r="X434" s="859"/>
      <c r="Y434" s="859"/>
      <c r="Z434" s="859"/>
      <c r="AA434" s="859"/>
      <c r="AB434" s="859"/>
      <c r="AC434" s="859"/>
      <c r="AD434" s="859"/>
      <c r="AE434" s="869"/>
      <c r="AF434" s="869"/>
      <c r="AG434" s="869"/>
      <c r="AH434" s="869"/>
      <c r="AI434" s="869"/>
      <c r="AJ434" s="869"/>
      <c r="AK434" s="869"/>
      <c r="AL434" s="869"/>
      <c r="AM434" s="869"/>
      <c r="AN434" s="869"/>
      <c r="AO434" s="869"/>
      <c r="AP434" s="869"/>
      <c r="AQ434" s="869"/>
      <c r="AR434" s="869"/>
      <c r="AS434" s="869"/>
      <c r="AT434" s="869"/>
      <c r="AU434" s="869"/>
      <c r="AV434" s="869"/>
      <c r="AW434" s="869"/>
      <c r="AX434" s="869"/>
    </row>
    <row r="435" spans="8:8" customHeight="1">
      <c r="A435" s="859"/>
      <c r="B435" s="859"/>
      <c r="C435" s="859"/>
      <c r="D435" s="859"/>
      <c r="E435" s="975"/>
      <c r="F435" s="859"/>
      <c r="G435" s="859"/>
      <c r="H435" s="859"/>
      <c r="I435" s="859"/>
      <c r="J435" s="859"/>
      <c r="K435" s="859"/>
      <c r="L435" s="859"/>
      <c r="M435" s="859"/>
      <c r="N435" s="859"/>
      <c r="O435" s="859"/>
      <c r="P435" s="859"/>
      <c r="Q435" s="859"/>
      <c r="R435" s="859"/>
      <c r="S435" s="859"/>
      <c r="T435" s="859"/>
      <c r="U435" s="859"/>
      <c r="V435" s="859"/>
      <c r="W435" s="859"/>
      <c r="X435" s="859"/>
      <c r="Y435" s="859"/>
      <c r="Z435" s="859"/>
      <c r="AA435" s="859"/>
      <c r="AB435" s="859"/>
      <c r="AC435" s="859"/>
      <c r="AD435" s="859"/>
      <c r="AE435" s="869"/>
      <c r="AF435" s="869"/>
      <c r="AG435" s="869"/>
      <c r="AH435" s="869"/>
      <c r="AI435" s="869"/>
      <c r="AJ435" s="869"/>
      <c r="AK435" s="869"/>
      <c r="AL435" s="869"/>
      <c r="AM435" s="869"/>
      <c r="AN435" s="869"/>
      <c r="AO435" s="869"/>
      <c r="AP435" s="869"/>
      <c r="AQ435" s="869"/>
      <c r="AR435" s="869"/>
      <c r="AS435" s="869"/>
      <c r="AT435" s="869"/>
      <c r="AU435" s="869"/>
      <c r="AV435" s="869"/>
      <c r="AW435" s="869"/>
      <c r="AX435" s="869"/>
    </row>
    <row r="436" spans="8:8" customHeight="1">
      <c r="A436" s="859"/>
      <c r="B436" s="859"/>
      <c r="C436" s="859"/>
      <c r="D436" s="859"/>
      <c r="E436" s="975"/>
      <c r="F436" s="859"/>
      <c r="G436" s="859"/>
      <c r="H436" s="859"/>
      <c r="I436" s="859"/>
      <c r="J436" s="859"/>
      <c r="K436" s="859"/>
      <c r="L436" s="859"/>
      <c r="M436" s="859"/>
      <c r="N436" s="859"/>
      <c r="O436" s="859"/>
      <c r="P436" s="859"/>
      <c r="Q436" s="859"/>
      <c r="R436" s="859"/>
      <c r="S436" s="859"/>
      <c r="T436" s="859"/>
      <c r="U436" s="859"/>
      <c r="V436" s="859"/>
      <c r="W436" s="859"/>
      <c r="X436" s="859"/>
      <c r="Y436" s="859"/>
      <c r="Z436" s="859"/>
      <c r="AA436" s="859"/>
      <c r="AB436" s="859"/>
      <c r="AC436" s="859"/>
      <c r="AD436" s="859"/>
      <c r="AE436" s="869"/>
      <c r="AF436" s="869"/>
      <c r="AG436" s="869"/>
      <c r="AH436" s="869"/>
      <c r="AI436" s="869"/>
      <c r="AJ436" s="869"/>
      <c r="AK436" s="869"/>
      <c r="AL436" s="869"/>
      <c r="AM436" s="869"/>
      <c r="AN436" s="869"/>
      <c r="AO436" s="869"/>
      <c r="AP436" s="869"/>
      <c r="AQ436" s="869"/>
      <c r="AR436" s="869"/>
      <c r="AS436" s="869"/>
      <c r="AT436" s="869"/>
      <c r="AU436" s="869"/>
      <c r="AV436" s="869"/>
      <c r="AW436" s="869"/>
      <c r="AX436" s="869"/>
    </row>
    <row r="437" spans="8:8" customHeight="1">
      <c r="A437" s="859"/>
      <c r="B437" s="859"/>
      <c r="C437" s="859"/>
      <c r="D437" s="859"/>
      <c r="E437" s="975"/>
      <c r="F437" s="859"/>
      <c r="G437" s="859"/>
      <c r="H437" s="859"/>
      <c r="I437" s="859"/>
      <c r="J437" s="859"/>
      <c r="K437" s="859"/>
      <c r="L437" s="859"/>
      <c r="M437" s="859"/>
      <c r="N437" s="859"/>
      <c r="O437" s="859"/>
      <c r="P437" s="859"/>
      <c r="Q437" s="859"/>
      <c r="R437" s="859"/>
      <c r="S437" s="859"/>
      <c r="T437" s="859"/>
      <c r="U437" s="859"/>
      <c r="V437" s="859"/>
      <c r="W437" s="859"/>
      <c r="X437" s="859"/>
      <c r="Y437" s="859"/>
      <c r="Z437" s="859"/>
      <c r="AA437" s="859"/>
      <c r="AB437" s="859"/>
      <c r="AC437" s="859"/>
      <c r="AD437" s="859"/>
      <c r="AE437" s="869"/>
      <c r="AF437" s="869"/>
      <c r="AG437" s="869"/>
      <c r="AH437" s="869"/>
      <c r="AI437" s="869"/>
      <c r="AJ437" s="869"/>
      <c r="AK437" s="869"/>
      <c r="AL437" s="869"/>
      <c r="AM437" s="869"/>
      <c r="AN437" s="869"/>
      <c r="AO437" s="869"/>
      <c r="AP437" s="869"/>
      <c r="AQ437" s="869"/>
      <c r="AR437" s="869"/>
      <c r="AS437" s="869"/>
      <c r="AT437" s="869"/>
      <c r="AU437" s="869"/>
      <c r="AV437" s="869"/>
      <c r="AW437" s="869"/>
      <c r="AX437" s="869"/>
    </row>
    <row r="438" spans="8:8" customHeight="1">
      <c r="A438" s="859"/>
      <c r="B438" s="859"/>
      <c r="C438" s="859"/>
      <c r="D438" s="859"/>
      <c r="E438" s="975"/>
      <c r="F438" s="859"/>
      <c r="G438" s="859"/>
      <c r="H438" s="859"/>
      <c r="I438" s="859"/>
      <c r="J438" s="859"/>
      <c r="K438" s="859"/>
      <c r="L438" s="859"/>
      <c r="M438" s="859"/>
      <c r="N438" s="859"/>
      <c r="O438" s="859"/>
      <c r="P438" s="859"/>
      <c r="Q438" s="859"/>
      <c r="R438" s="859"/>
      <c r="S438" s="859"/>
      <c r="T438" s="859"/>
      <c r="U438" s="859"/>
      <c r="V438" s="859"/>
      <c r="W438" s="859"/>
      <c r="X438" s="859"/>
      <c r="Y438" s="859"/>
      <c r="Z438" s="859"/>
      <c r="AA438" s="859"/>
      <c r="AB438" s="859"/>
      <c r="AC438" s="859"/>
      <c r="AD438" s="859"/>
      <c r="AE438" s="869"/>
      <c r="AF438" s="869"/>
      <c r="AG438" s="869"/>
      <c r="AH438" s="869"/>
      <c r="AI438" s="869"/>
      <c r="AJ438" s="869"/>
      <c r="AK438" s="869"/>
      <c r="AL438" s="869"/>
      <c r="AM438" s="869"/>
      <c r="AN438" s="869"/>
      <c r="AO438" s="869"/>
      <c r="AP438" s="869"/>
      <c r="AQ438" s="869"/>
      <c r="AR438" s="869"/>
      <c r="AS438" s="869"/>
      <c r="AT438" s="869"/>
      <c r="AU438" s="869"/>
      <c r="AV438" s="869"/>
      <c r="AW438" s="869"/>
      <c r="AX438" s="869"/>
    </row>
    <row r="439" spans="8:8" customHeight="1">
      <c r="A439" s="859"/>
      <c r="B439" s="859"/>
      <c r="C439" s="859"/>
      <c r="D439" s="859"/>
      <c r="E439" s="975"/>
      <c r="F439" s="859"/>
      <c r="G439" s="859"/>
      <c r="H439" s="859"/>
      <c r="I439" s="859"/>
      <c r="J439" s="859"/>
      <c r="K439" s="859"/>
      <c r="L439" s="859"/>
      <c r="M439" s="859"/>
      <c r="N439" s="859"/>
      <c r="O439" s="859"/>
      <c r="P439" s="859"/>
      <c r="Q439" s="859"/>
      <c r="R439" s="859"/>
      <c r="S439" s="859"/>
      <c r="T439" s="859"/>
      <c r="U439" s="859"/>
      <c r="V439" s="859"/>
      <c r="W439" s="859"/>
      <c r="X439" s="859"/>
      <c r="Y439" s="859"/>
      <c r="Z439" s="859"/>
      <c r="AA439" s="859"/>
      <c r="AB439" s="859"/>
      <c r="AC439" s="859"/>
      <c r="AD439" s="859"/>
      <c r="AE439" s="869"/>
      <c r="AF439" s="869"/>
      <c r="AG439" s="869"/>
      <c r="AH439" s="869"/>
      <c r="AI439" s="869"/>
      <c r="AJ439" s="869"/>
      <c r="AK439" s="869"/>
      <c r="AL439" s="869"/>
      <c r="AM439" s="869"/>
      <c r="AN439" s="869"/>
      <c r="AO439" s="869"/>
      <c r="AP439" s="869"/>
      <c r="AQ439" s="869"/>
      <c r="AR439" s="869"/>
      <c r="AS439" s="869"/>
      <c r="AT439" s="869"/>
      <c r="AU439" s="869"/>
      <c r="AV439" s="869"/>
      <c r="AW439" s="869"/>
      <c r="AX439" s="869"/>
    </row>
    <row r="440" spans="8:8" customHeight="1">
      <c r="A440" s="859"/>
      <c r="B440" s="859"/>
      <c r="C440" s="859"/>
      <c r="D440" s="859"/>
      <c r="E440" s="975"/>
      <c r="F440" s="859"/>
      <c r="G440" s="859"/>
      <c r="H440" s="859"/>
      <c r="I440" s="859"/>
      <c r="J440" s="859"/>
      <c r="K440" s="859"/>
      <c r="L440" s="859"/>
      <c r="M440" s="859"/>
      <c r="N440" s="859"/>
      <c r="O440" s="859"/>
      <c r="P440" s="859"/>
      <c r="Q440" s="859"/>
      <c r="R440" s="859"/>
      <c r="S440" s="859"/>
      <c r="T440" s="859"/>
      <c r="U440" s="859"/>
      <c r="V440" s="859"/>
      <c r="W440" s="859"/>
      <c r="X440" s="859"/>
      <c r="Y440" s="859"/>
      <c r="Z440" s="859"/>
      <c r="AA440" s="859"/>
      <c r="AB440" s="859"/>
      <c r="AC440" s="859"/>
      <c r="AD440" s="859"/>
      <c r="AE440" s="869"/>
      <c r="AF440" s="869"/>
      <c r="AG440" s="869"/>
      <c r="AH440" s="869"/>
      <c r="AI440" s="869"/>
      <c r="AJ440" s="869"/>
      <c r="AK440" s="869"/>
      <c r="AL440" s="869"/>
      <c r="AM440" s="869"/>
      <c r="AN440" s="869"/>
      <c r="AO440" s="869"/>
      <c r="AP440" s="869"/>
      <c r="AQ440" s="869"/>
      <c r="AR440" s="869"/>
      <c r="AS440" s="869"/>
      <c r="AT440" s="869"/>
      <c r="AU440" s="869"/>
      <c r="AV440" s="869"/>
      <c r="AW440" s="869"/>
      <c r="AX440" s="869"/>
    </row>
    <row r="441" spans="8:8" customHeight="1">
      <c r="A441" s="859"/>
      <c r="B441" s="859"/>
      <c r="C441" s="859"/>
      <c r="D441" s="859"/>
      <c r="E441" s="975"/>
      <c r="F441" s="859"/>
      <c r="G441" s="859"/>
      <c r="H441" s="859"/>
      <c r="I441" s="859"/>
      <c r="J441" s="859"/>
      <c r="K441" s="859"/>
      <c r="L441" s="859"/>
      <c r="M441" s="859"/>
      <c r="N441" s="859"/>
      <c r="O441" s="859"/>
      <c r="P441" s="859"/>
      <c r="Q441" s="859"/>
      <c r="R441" s="859"/>
      <c r="S441" s="859"/>
      <c r="T441" s="859"/>
      <c r="U441" s="859"/>
      <c r="V441" s="859"/>
      <c r="W441" s="859"/>
      <c r="X441" s="859"/>
      <c r="Y441" s="859"/>
      <c r="Z441" s="859"/>
      <c r="AA441" s="859"/>
      <c r="AB441" s="859"/>
      <c r="AC441" s="859"/>
      <c r="AD441" s="859"/>
      <c r="AE441" s="869"/>
      <c r="AF441" s="869"/>
      <c r="AG441" s="869"/>
      <c r="AH441" s="869"/>
      <c r="AI441" s="869"/>
      <c r="AJ441" s="869"/>
      <c r="AK441" s="869"/>
      <c r="AL441" s="869"/>
      <c r="AM441" s="869"/>
      <c r="AN441" s="869"/>
      <c r="AO441" s="869"/>
      <c r="AP441" s="869"/>
      <c r="AQ441" s="869"/>
      <c r="AR441" s="869"/>
      <c r="AS441" s="869"/>
      <c r="AT441" s="869"/>
      <c r="AU441" s="869"/>
      <c r="AV441" s="869"/>
      <c r="AW441" s="869"/>
      <c r="AX441" s="869"/>
    </row>
    <row r="442" spans="8:8" customHeight="1">
      <c r="A442" s="859"/>
      <c r="B442" s="859"/>
      <c r="C442" s="859"/>
      <c r="D442" s="859"/>
      <c r="E442" s="975"/>
      <c r="F442" s="859"/>
      <c r="G442" s="859"/>
      <c r="H442" s="859"/>
      <c r="I442" s="859"/>
      <c r="J442" s="859"/>
      <c r="K442" s="859"/>
      <c r="L442" s="859"/>
      <c r="M442" s="859"/>
      <c r="N442" s="859"/>
      <c r="O442" s="859"/>
      <c r="P442" s="859"/>
      <c r="Q442" s="859"/>
      <c r="R442" s="859"/>
      <c r="S442" s="859"/>
      <c r="T442" s="859"/>
      <c r="U442" s="859"/>
      <c r="V442" s="859"/>
      <c r="W442" s="859"/>
      <c r="X442" s="859"/>
      <c r="Y442" s="859"/>
      <c r="Z442" s="859"/>
      <c r="AA442" s="859"/>
      <c r="AB442" s="859"/>
      <c r="AC442" s="859"/>
      <c r="AD442" s="859"/>
      <c r="AE442" s="869"/>
      <c r="AF442" s="869"/>
      <c r="AG442" s="869"/>
      <c r="AH442" s="869"/>
      <c r="AI442" s="869"/>
      <c r="AJ442" s="869"/>
      <c r="AK442" s="869"/>
      <c r="AL442" s="869"/>
      <c r="AM442" s="869"/>
      <c r="AN442" s="869"/>
      <c r="AO442" s="869"/>
      <c r="AP442" s="869"/>
      <c r="AQ442" s="869"/>
      <c r="AR442" s="869"/>
      <c r="AS442" s="869"/>
      <c r="AT442" s="869"/>
      <c r="AU442" s="869"/>
      <c r="AV442" s="869"/>
      <c r="AW442" s="869"/>
      <c r="AX442" s="869"/>
    </row>
    <row r="443" spans="8:8" customHeight="1">
      <c r="A443" s="859"/>
      <c r="B443" s="859"/>
      <c r="C443" s="859"/>
      <c r="D443" s="859"/>
      <c r="E443" s="975"/>
      <c r="F443" s="859"/>
      <c r="G443" s="859"/>
      <c r="H443" s="859"/>
      <c r="I443" s="859"/>
      <c r="J443" s="859"/>
      <c r="K443" s="859"/>
      <c r="L443" s="859"/>
      <c r="M443" s="859"/>
      <c r="N443" s="859"/>
      <c r="O443" s="859"/>
      <c r="P443" s="859"/>
      <c r="Q443" s="859"/>
      <c r="R443" s="859"/>
      <c r="S443" s="859"/>
      <c r="T443" s="859"/>
      <c r="U443" s="859"/>
      <c r="V443" s="859"/>
      <c r="W443" s="859"/>
      <c r="X443" s="859"/>
      <c r="Y443" s="859"/>
      <c r="Z443" s="859"/>
      <c r="AA443" s="859"/>
      <c r="AB443" s="859"/>
      <c r="AC443" s="859"/>
      <c r="AD443" s="859"/>
      <c r="AE443" s="869"/>
      <c r="AF443" s="869"/>
      <c r="AG443" s="869"/>
      <c r="AH443" s="869"/>
      <c r="AI443" s="869"/>
      <c r="AJ443" s="869"/>
      <c r="AK443" s="869"/>
      <c r="AL443" s="869"/>
      <c r="AM443" s="869"/>
      <c r="AN443" s="869"/>
      <c r="AO443" s="869"/>
      <c r="AP443" s="869"/>
      <c r="AQ443" s="869"/>
      <c r="AR443" s="869"/>
      <c r="AS443" s="869"/>
      <c r="AT443" s="869"/>
      <c r="AU443" s="869"/>
      <c r="AV443" s="869"/>
      <c r="AW443" s="869"/>
      <c r="AX443" s="869"/>
    </row>
    <row r="444" spans="8:8" customHeight="1">
      <c r="A444" s="859"/>
      <c r="B444" s="859"/>
      <c r="C444" s="859"/>
      <c r="D444" s="859"/>
      <c r="E444" s="975"/>
      <c r="F444" s="859"/>
      <c r="G444" s="859"/>
      <c r="H444" s="859"/>
      <c r="I444" s="859"/>
      <c r="J444" s="859"/>
      <c r="K444" s="859"/>
      <c r="L444" s="859"/>
      <c r="M444" s="859"/>
      <c r="N444" s="859"/>
      <c r="O444" s="859"/>
      <c r="P444" s="859"/>
      <c r="Q444" s="859"/>
      <c r="R444" s="859"/>
      <c r="S444" s="859"/>
      <c r="T444" s="859"/>
      <c r="U444" s="859"/>
      <c r="V444" s="859"/>
      <c r="W444" s="859"/>
      <c r="X444" s="859"/>
      <c r="Y444" s="859"/>
      <c r="Z444" s="859"/>
      <c r="AA444" s="859"/>
      <c r="AB444" s="859"/>
      <c r="AC444" s="859"/>
      <c r="AD444" s="859"/>
      <c r="AE444" s="869"/>
      <c r="AF444" s="869"/>
      <c r="AG444" s="869"/>
      <c r="AH444" s="869"/>
      <c r="AI444" s="869"/>
      <c r="AJ444" s="869"/>
      <c r="AK444" s="869"/>
      <c r="AL444" s="869"/>
      <c r="AM444" s="869"/>
      <c r="AN444" s="869"/>
      <c r="AO444" s="869"/>
      <c r="AP444" s="869"/>
      <c r="AQ444" s="869"/>
      <c r="AR444" s="869"/>
      <c r="AS444" s="869"/>
      <c r="AT444" s="869"/>
      <c r="AU444" s="869"/>
      <c r="AV444" s="869"/>
      <c r="AW444" s="869"/>
      <c r="AX444" s="869"/>
    </row>
    <row r="445" spans="8:8" customHeight="1">
      <c r="A445" s="859"/>
      <c r="B445" s="859"/>
      <c r="C445" s="859"/>
      <c r="D445" s="859"/>
      <c r="E445" s="975"/>
      <c r="F445" s="859"/>
      <c r="G445" s="859"/>
      <c r="H445" s="859"/>
      <c r="I445" s="859"/>
      <c r="J445" s="859"/>
      <c r="K445" s="859"/>
      <c r="L445" s="859"/>
      <c r="M445" s="859"/>
      <c r="N445" s="859"/>
      <c r="O445" s="859"/>
      <c r="P445" s="859"/>
      <c r="Q445" s="859"/>
      <c r="R445" s="859"/>
      <c r="S445" s="859"/>
      <c r="T445" s="859"/>
      <c r="U445" s="859"/>
      <c r="V445" s="859"/>
      <c r="W445" s="859"/>
      <c r="X445" s="859"/>
      <c r="Y445" s="859"/>
      <c r="Z445" s="859"/>
      <c r="AA445" s="859"/>
      <c r="AB445" s="859"/>
      <c r="AC445" s="859"/>
      <c r="AD445" s="859"/>
      <c r="AE445" s="869"/>
      <c r="AF445" s="869"/>
      <c r="AG445" s="869"/>
      <c r="AH445" s="869"/>
      <c r="AI445" s="869"/>
      <c r="AJ445" s="869"/>
      <c r="AK445" s="869"/>
      <c r="AL445" s="869"/>
      <c r="AM445" s="869"/>
      <c r="AN445" s="869"/>
      <c r="AO445" s="869"/>
      <c r="AP445" s="869"/>
      <c r="AQ445" s="869"/>
      <c r="AR445" s="869"/>
      <c r="AS445" s="869"/>
      <c r="AT445" s="869"/>
      <c r="AU445" s="869"/>
      <c r="AV445" s="869"/>
      <c r="AW445" s="869"/>
      <c r="AX445" s="869"/>
    </row>
    <row r="446" spans="8:8" customHeight="1">
      <c r="A446" s="859"/>
      <c r="B446" s="859"/>
      <c r="C446" s="859"/>
      <c r="D446" s="859"/>
      <c r="E446" s="975"/>
      <c r="F446" s="859"/>
      <c r="G446" s="859"/>
      <c r="H446" s="859"/>
      <c r="I446" s="859"/>
      <c r="J446" s="859"/>
      <c r="K446" s="859"/>
      <c r="L446" s="859"/>
      <c r="M446" s="859"/>
      <c r="N446" s="859"/>
      <c r="O446" s="859"/>
      <c r="P446" s="859"/>
      <c r="Q446" s="859"/>
      <c r="R446" s="859"/>
      <c r="S446" s="859"/>
      <c r="T446" s="859"/>
      <c r="U446" s="859"/>
      <c r="V446" s="859"/>
      <c r="W446" s="859"/>
      <c r="X446" s="859"/>
      <c r="Y446" s="859"/>
      <c r="Z446" s="859"/>
      <c r="AA446" s="859"/>
      <c r="AB446" s="859"/>
      <c r="AC446" s="859"/>
      <c r="AD446" s="859"/>
      <c r="AE446" s="869"/>
      <c r="AF446" s="869"/>
      <c r="AG446" s="869"/>
      <c r="AH446" s="869"/>
      <c r="AI446" s="869"/>
      <c r="AJ446" s="869"/>
      <c r="AK446" s="869"/>
      <c r="AL446" s="869"/>
      <c r="AM446" s="869"/>
      <c r="AN446" s="869"/>
      <c r="AO446" s="869"/>
      <c r="AP446" s="869"/>
      <c r="AQ446" s="869"/>
      <c r="AR446" s="869"/>
      <c r="AS446" s="869"/>
      <c r="AT446" s="869"/>
      <c r="AU446" s="869"/>
      <c r="AV446" s="869"/>
      <c r="AW446" s="869"/>
      <c r="AX446" s="869"/>
    </row>
    <row r="447" spans="8:8" customHeight="1">
      <c r="A447" s="859"/>
      <c r="B447" s="859"/>
      <c r="C447" s="859"/>
      <c r="D447" s="859"/>
      <c r="E447" s="975"/>
      <c r="F447" s="859"/>
      <c r="G447" s="859"/>
      <c r="H447" s="859"/>
      <c r="I447" s="859"/>
      <c r="J447" s="859"/>
      <c r="K447" s="859"/>
      <c r="L447" s="859"/>
      <c r="M447" s="859"/>
      <c r="N447" s="859"/>
      <c r="O447" s="859"/>
      <c r="P447" s="859"/>
      <c r="Q447" s="859"/>
      <c r="R447" s="859"/>
      <c r="S447" s="859"/>
      <c r="T447" s="859"/>
      <c r="U447" s="859"/>
      <c r="V447" s="859"/>
      <c r="W447" s="859"/>
      <c r="X447" s="859"/>
      <c r="Y447" s="859"/>
      <c r="Z447" s="859"/>
      <c r="AA447" s="859"/>
      <c r="AB447" s="859"/>
      <c r="AC447" s="859"/>
      <c r="AD447" s="859"/>
      <c r="AE447" s="869"/>
      <c r="AF447" s="869"/>
      <c r="AG447" s="869"/>
      <c r="AH447" s="869"/>
      <c r="AI447" s="869"/>
      <c r="AJ447" s="869"/>
      <c r="AK447" s="869"/>
      <c r="AL447" s="869"/>
      <c r="AM447" s="869"/>
      <c r="AN447" s="869"/>
      <c r="AO447" s="869"/>
      <c r="AP447" s="869"/>
      <c r="AQ447" s="869"/>
      <c r="AR447" s="869"/>
      <c r="AS447" s="869"/>
      <c r="AT447" s="869"/>
      <c r="AU447" s="869"/>
      <c r="AV447" s="869"/>
      <c r="AW447" s="869"/>
      <c r="AX447" s="869"/>
    </row>
    <row r="448" spans="8:8" customHeight="1">
      <c r="A448" s="859"/>
      <c r="B448" s="859"/>
      <c r="C448" s="859"/>
      <c r="D448" s="859"/>
      <c r="E448" s="975"/>
      <c r="F448" s="859"/>
      <c r="G448" s="859"/>
      <c r="H448" s="859"/>
      <c r="I448" s="859"/>
      <c r="J448" s="859"/>
      <c r="K448" s="859"/>
      <c r="L448" s="859"/>
      <c r="M448" s="859"/>
      <c r="N448" s="859"/>
      <c r="O448" s="859"/>
      <c r="P448" s="859"/>
      <c r="Q448" s="859"/>
      <c r="R448" s="859"/>
      <c r="S448" s="859"/>
      <c r="T448" s="859"/>
      <c r="U448" s="859"/>
      <c r="V448" s="859"/>
      <c r="W448" s="859"/>
      <c r="X448" s="859"/>
      <c r="Y448" s="859"/>
      <c r="Z448" s="859"/>
      <c r="AA448" s="859"/>
      <c r="AB448" s="859"/>
      <c r="AC448" s="859"/>
      <c r="AD448" s="859"/>
      <c r="AE448" s="869"/>
      <c r="AF448" s="869"/>
      <c r="AG448" s="869"/>
      <c r="AH448" s="869"/>
      <c r="AI448" s="869"/>
      <c r="AJ448" s="869"/>
      <c r="AK448" s="869"/>
      <c r="AL448" s="869"/>
      <c r="AM448" s="869"/>
      <c r="AN448" s="869"/>
      <c r="AO448" s="869"/>
      <c r="AP448" s="869"/>
      <c r="AQ448" s="869"/>
      <c r="AR448" s="869"/>
      <c r="AS448" s="869"/>
      <c r="AT448" s="869"/>
      <c r="AU448" s="869"/>
      <c r="AV448" s="869"/>
      <c r="AW448" s="869"/>
      <c r="AX448" s="869"/>
    </row>
    <row r="449" spans="8:8" customHeight="1">
      <c r="A449" s="859"/>
      <c r="B449" s="859"/>
      <c r="C449" s="859"/>
      <c r="D449" s="859"/>
      <c r="E449" s="975"/>
      <c r="F449" s="859"/>
      <c r="G449" s="859"/>
      <c r="H449" s="859"/>
      <c r="I449" s="859"/>
      <c r="J449" s="859"/>
      <c r="K449" s="859"/>
      <c r="L449" s="859"/>
      <c r="M449" s="859"/>
      <c r="N449" s="859"/>
      <c r="O449" s="859"/>
      <c r="P449" s="859"/>
      <c r="Q449" s="859"/>
      <c r="R449" s="859"/>
      <c r="S449" s="859"/>
      <c r="T449" s="859"/>
      <c r="U449" s="859"/>
      <c r="V449" s="859"/>
      <c r="W449" s="859"/>
      <c r="X449" s="859"/>
      <c r="Y449" s="859"/>
      <c r="Z449" s="859"/>
      <c r="AA449" s="859"/>
      <c r="AB449" s="859"/>
      <c r="AC449" s="859"/>
      <c r="AD449" s="859"/>
      <c r="AE449" s="869"/>
      <c r="AF449" s="869"/>
      <c r="AG449" s="869"/>
      <c r="AH449" s="869"/>
      <c r="AI449" s="869"/>
      <c r="AJ449" s="869"/>
      <c r="AK449" s="869"/>
      <c r="AL449" s="869"/>
      <c r="AM449" s="869"/>
      <c r="AN449" s="869"/>
      <c r="AO449" s="869"/>
      <c r="AP449" s="869"/>
      <c r="AQ449" s="869"/>
      <c r="AR449" s="869"/>
      <c r="AS449" s="869"/>
      <c r="AT449" s="869"/>
      <c r="AU449" s="869"/>
      <c r="AV449" s="869"/>
      <c r="AW449" s="869"/>
      <c r="AX449" s="869"/>
    </row>
    <row r="450" spans="8:8" customHeight="1">
      <c r="A450" s="859"/>
      <c r="B450" s="859"/>
      <c r="C450" s="859"/>
      <c r="D450" s="859"/>
      <c r="E450" s="975"/>
      <c r="F450" s="859"/>
      <c r="G450" s="859"/>
      <c r="H450" s="859"/>
      <c r="I450" s="859"/>
      <c r="J450" s="859"/>
      <c r="K450" s="859"/>
      <c r="L450" s="859"/>
      <c r="M450" s="859"/>
      <c r="N450" s="859"/>
      <c r="O450" s="859"/>
      <c r="P450" s="859"/>
      <c r="Q450" s="859"/>
      <c r="R450" s="859"/>
      <c r="S450" s="859"/>
      <c r="T450" s="859"/>
      <c r="U450" s="859"/>
      <c r="V450" s="859"/>
      <c r="W450" s="859"/>
      <c r="X450" s="859"/>
      <c r="Y450" s="859"/>
      <c r="Z450" s="859"/>
      <c r="AA450" s="859"/>
      <c r="AB450" s="859"/>
      <c r="AC450" s="859"/>
      <c r="AD450" s="859"/>
      <c r="AE450" s="869"/>
      <c r="AF450" s="869"/>
      <c r="AG450" s="869"/>
      <c r="AH450" s="869"/>
      <c r="AI450" s="869"/>
      <c r="AJ450" s="869"/>
      <c r="AK450" s="869"/>
      <c r="AL450" s="869"/>
      <c r="AM450" s="869"/>
      <c r="AN450" s="869"/>
      <c r="AO450" s="869"/>
      <c r="AP450" s="869"/>
      <c r="AQ450" s="869"/>
      <c r="AR450" s="869"/>
      <c r="AS450" s="869"/>
      <c r="AT450" s="869"/>
      <c r="AU450" s="869"/>
      <c r="AV450" s="869"/>
      <c r="AW450" s="869"/>
      <c r="AX450" s="869"/>
    </row>
    <row r="451" spans="8:8" customHeight="1">
      <c r="A451" s="859"/>
      <c r="B451" s="859"/>
      <c r="C451" s="859"/>
      <c r="D451" s="859"/>
      <c r="E451" s="975"/>
      <c r="F451" s="859"/>
      <c r="G451" s="859"/>
      <c r="H451" s="859"/>
      <c r="I451" s="859"/>
      <c r="J451" s="859"/>
      <c r="K451" s="859"/>
      <c r="L451" s="859"/>
      <c r="M451" s="859"/>
      <c r="N451" s="859"/>
      <c r="O451" s="859"/>
      <c r="P451" s="859"/>
      <c r="Q451" s="859"/>
      <c r="R451" s="859"/>
      <c r="S451" s="859"/>
      <c r="T451" s="859"/>
      <c r="U451" s="859"/>
      <c r="V451" s="859"/>
      <c r="W451" s="859"/>
      <c r="X451" s="859"/>
      <c r="Y451" s="859"/>
      <c r="Z451" s="859"/>
      <c r="AA451" s="859"/>
      <c r="AB451" s="859"/>
      <c r="AC451" s="859"/>
      <c r="AD451" s="859"/>
      <c r="AE451" s="869"/>
      <c r="AF451" s="869"/>
      <c r="AG451" s="869"/>
      <c r="AH451" s="869"/>
      <c r="AI451" s="869"/>
      <c r="AJ451" s="869"/>
      <c r="AK451" s="869"/>
      <c r="AL451" s="869"/>
      <c r="AM451" s="869"/>
      <c r="AN451" s="869"/>
      <c r="AO451" s="869"/>
      <c r="AP451" s="869"/>
      <c r="AQ451" s="869"/>
      <c r="AR451" s="869"/>
      <c r="AS451" s="869"/>
      <c r="AT451" s="869"/>
      <c r="AU451" s="869"/>
      <c r="AV451" s="869"/>
      <c r="AW451" s="869"/>
      <c r="AX451" s="869"/>
    </row>
    <row r="452" spans="8:8" customHeight="1">
      <c r="A452" s="859"/>
      <c r="B452" s="859"/>
      <c r="C452" s="859"/>
      <c r="D452" s="859"/>
      <c r="E452" s="975"/>
      <c r="F452" s="859"/>
      <c r="G452" s="859"/>
      <c r="H452" s="859"/>
      <c r="I452" s="859"/>
      <c r="J452" s="859"/>
      <c r="K452" s="859"/>
      <c r="L452" s="859"/>
      <c r="M452" s="859"/>
      <c r="N452" s="859"/>
      <c r="O452" s="859"/>
      <c r="P452" s="859"/>
      <c r="Q452" s="859"/>
      <c r="R452" s="859"/>
      <c r="S452" s="859"/>
      <c r="T452" s="859"/>
      <c r="U452" s="859"/>
      <c r="V452" s="859"/>
      <c r="W452" s="859"/>
      <c r="X452" s="859"/>
      <c r="Y452" s="859"/>
      <c r="Z452" s="859"/>
      <c r="AA452" s="859"/>
      <c r="AB452" s="859"/>
      <c r="AC452" s="859"/>
      <c r="AD452" s="859"/>
      <c r="AE452" s="869"/>
      <c r="AF452" s="869"/>
      <c r="AG452" s="869"/>
      <c r="AH452" s="869"/>
      <c r="AI452" s="869"/>
      <c r="AJ452" s="869"/>
      <c r="AK452" s="869"/>
      <c r="AL452" s="869"/>
      <c r="AM452" s="869"/>
      <c r="AN452" s="869"/>
      <c r="AO452" s="869"/>
      <c r="AP452" s="869"/>
      <c r="AQ452" s="869"/>
      <c r="AR452" s="869"/>
      <c r="AS452" s="869"/>
      <c r="AT452" s="869"/>
      <c r="AU452" s="869"/>
      <c r="AV452" s="869"/>
      <c r="AW452" s="869"/>
      <c r="AX452" s="869"/>
    </row>
    <row r="453" spans="8:8" customHeight="1">
      <c r="A453" s="859"/>
      <c r="B453" s="859"/>
      <c r="C453" s="859"/>
      <c r="D453" s="859"/>
      <c r="E453" s="975"/>
      <c r="F453" s="859"/>
      <c r="G453" s="859"/>
      <c r="H453" s="859"/>
      <c r="I453" s="859"/>
      <c r="J453" s="859"/>
      <c r="K453" s="859"/>
      <c r="L453" s="859"/>
      <c r="M453" s="859"/>
      <c r="N453" s="859"/>
      <c r="O453" s="859"/>
      <c r="P453" s="859"/>
      <c r="Q453" s="859"/>
      <c r="R453" s="859"/>
      <c r="S453" s="859"/>
      <c r="T453" s="859"/>
      <c r="U453" s="859"/>
      <c r="V453" s="859"/>
      <c r="W453" s="859"/>
      <c r="X453" s="859"/>
      <c r="Y453" s="859"/>
      <c r="Z453" s="859"/>
      <c r="AA453" s="859"/>
      <c r="AB453" s="859"/>
      <c r="AC453" s="859"/>
      <c r="AD453" s="859"/>
      <c r="AE453" s="869"/>
      <c r="AF453" s="869"/>
      <c r="AG453" s="869"/>
      <c r="AH453" s="869"/>
      <c r="AI453" s="869"/>
      <c r="AJ453" s="869"/>
      <c r="AK453" s="869"/>
      <c r="AL453" s="869"/>
      <c r="AM453" s="869"/>
      <c r="AN453" s="869"/>
      <c r="AO453" s="869"/>
      <c r="AP453" s="869"/>
      <c r="AQ453" s="869"/>
      <c r="AR453" s="869"/>
      <c r="AS453" s="869"/>
      <c r="AT453" s="869"/>
      <c r="AU453" s="869"/>
      <c r="AV453" s="869"/>
      <c r="AW453" s="869"/>
      <c r="AX453" s="869"/>
    </row>
    <row r="454" spans="8:8" customHeight="1">
      <c r="A454" s="859"/>
      <c r="B454" s="859"/>
      <c r="C454" s="859"/>
      <c r="D454" s="859"/>
      <c r="E454" s="975"/>
      <c r="F454" s="859"/>
      <c r="G454" s="859"/>
      <c r="H454" s="859"/>
      <c r="I454" s="859"/>
      <c r="J454" s="859"/>
      <c r="K454" s="859"/>
      <c r="L454" s="859"/>
      <c r="M454" s="859"/>
      <c r="N454" s="859"/>
      <c r="O454" s="859"/>
      <c r="P454" s="859"/>
      <c r="Q454" s="859"/>
      <c r="R454" s="859"/>
      <c r="S454" s="859"/>
      <c r="T454" s="859"/>
      <c r="U454" s="859"/>
      <c r="V454" s="859"/>
      <c r="W454" s="859"/>
      <c r="X454" s="859"/>
      <c r="Y454" s="859"/>
      <c r="Z454" s="859"/>
      <c r="AA454" s="859"/>
      <c r="AB454" s="859"/>
      <c r="AC454" s="859"/>
      <c r="AD454" s="859"/>
      <c r="AE454" s="869"/>
      <c r="AF454" s="869"/>
      <c r="AG454" s="869"/>
      <c r="AH454" s="869"/>
      <c r="AI454" s="869"/>
      <c r="AJ454" s="869"/>
      <c r="AK454" s="869"/>
      <c r="AL454" s="869"/>
      <c r="AM454" s="869"/>
      <c r="AN454" s="869"/>
      <c r="AO454" s="869"/>
      <c r="AP454" s="869"/>
      <c r="AQ454" s="869"/>
      <c r="AR454" s="869"/>
      <c r="AS454" s="869"/>
      <c r="AT454" s="869"/>
      <c r="AU454" s="869"/>
      <c r="AV454" s="869"/>
      <c r="AW454" s="869"/>
      <c r="AX454" s="869"/>
    </row>
    <row r="455" spans="8:8" customHeight="1">
      <c r="A455" s="859"/>
      <c r="B455" s="859"/>
      <c r="C455" s="859"/>
      <c r="D455" s="859"/>
      <c r="E455" s="975"/>
      <c r="F455" s="859"/>
      <c r="G455" s="859"/>
      <c r="H455" s="859"/>
      <c r="I455" s="859"/>
      <c r="J455" s="859"/>
      <c r="K455" s="859"/>
      <c r="L455" s="859"/>
      <c r="M455" s="859"/>
      <c r="N455" s="859"/>
      <c r="O455" s="859"/>
      <c r="P455" s="859"/>
      <c r="Q455" s="859"/>
      <c r="R455" s="859"/>
      <c r="S455" s="859"/>
      <c r="T455" s="859"/>
      <c r="U455" s="859"/>
      <c r="V455" s="859"/>
      <c r="W455" s="859"/>
      <c r="X455" s="859"/>
      <c r="Y455" s="859"/>
      <c r="Z455" s="859"/>
      <c r="AA455" s="859"/>
      <c r="AB455" s="859"/>
      <c r="AC455" s="859"/>
      <c r="AD455" s="859"/>
      <c r="AE455" s="869"/>
      <c r="AF455" s="869"/>
      <c r="AG455" s="869"/>
      <c r="AH455" s="869"/>
      <c r="AI455" s="869"/>
      <c r="AJ455" s="869"/>
      <c r="AK455" s="869"/>
      <c r="AL455" s="869"/>
      <c r="AM455" s="869"/>
      <c r="AN455" s="869"/>
      <c r="AO455" s="869"/>
      <c r="AP455" s="869"/>
      <c r="AQ455" s="869"/>
      <c r="AR455" s="869"/>
      <c r="AS455" s="869"/>
      <c r="AT455" s="869"/>
      <c r="AU455" s="869"/>
      <c r="AV455" s="869"/>
      <c r="AW455" s="869"/>
      <c r="AX455" s="869"/>
    </row>
    <row r="456" spans="8:8" customHeight="1">
      <c r="A456" s="859"/>
      <c r="B456" s="859"/>
      <c r="C456" s="859"/>
      <c r="D456" s="859"/>
      <c r="E456" s="975"/>
      <c r="F456" s="859"/>
      <c r="G456" s="859"/>
      <c r="H456" s="859"/>
      <c r="I456" s="859"/>
      <c r="J456" s="859"/>
      <c r="K456" s="859"/>
      <c r="L456" s="859"/>
      <c r="M456" s="859"/>
      <c r="N456" s="859"/>
      <c r="O456" s="859"/>
      <c r="P456" s="859"/>
      <c r="Q456" s="859"/>
      <c r="R456" s="859"/>
      <c r="S456" s="859"/>
      <c r="T456" s="859"/>
      <c r="U456" s="859"/>
      <c r="V456" s="859"/>
      <c r="W456" s="859"/>
      <c r="X456" s="859"/>
      <c r="Y456" s="859"/>
      <c r="Z456" s="859"/>
      <c r="AA456" s="859"/>
      <c r="AB456" s="859"/>
      <c r="AC456" s="859"/>
      <c r="AD456" s="859"/>
      <c r="AE456" s="869"/>
      <c r="AF456" s="869"/>
      <c r="AG456" s="869"/>
      <c r="AH456" s="869"/>
      <c r="AI456" s="869"/>
      <c r="AJ456" s="869"/>
      <c r="AK456" s="869"/>
      <c r="AL456" s="869"/>
      <c r="AM456" s="869"/>
      <c r="AN456" s="869"/>
      <c r="AO456" s="869"/>
      <c r="AP456" s="869"/>
      <c r="AQ456" s="869"/>
      <c r="AR456" s="869"/>
      <c r="AS456" s="869"/>
      <c r="AT456" s="869"/>
      <c r="AU456" s="869"/>
      <c r="AV456" s="869"/>
      <c r="AW456" s="869"/>
      <c r="AX456" s="869"/>
    </row>
    <row r="457" spans="8:8" customHeight="1">
      <c r="A457" s="859"/>
      <c r="B457" s="859"/>
      <c r="C457" s="859"/>
      <c r="D457" s="859"/>
      <c r="E457" s="975"/>
      <c r="F457" s="859"/>
      <c r="G457" s="859"/>
      <c r="H457" s="859"/>
      <c r="I457" s="859"/>
      <c r="J457" s="859"/>
      <c r="K457" s="859"/>
      <c r="L457" s="859"/>
      <c r="M457" s="859"/>
      <c r="N457" s="859"/>
      <c r="O457" s="859"/>
      <c r="P457" s="859"/>
      <c r="Q457" s="859"/>
      <c r="R457" s="859"/>
      <c r="S457" s="859"/>
      <c r="T457" s="859"/>
      <c r="U457" s="859"/>
      <c r="V457" s="859"/>
      <c r="W457" s="859"/>
      <c r="X457" s="859"/>
      <c r="Y457" s="859"/>
      <c r="Z457" s="859"/>
      <c r="AA457" s="859"/>
      <c r="AB457" s="859"/>
      <c r="AC457" s="859"/>
      <c r="AD457" s="859"/>
      <c r="AE457" s="869"/>
      <c r="AF457" s="869"/>
      <c r="AG457" s="869"/>
      <c r="AH457" s="869"/>
      <c r="AI457" s="869"/>
      <c r="AJ457" s="869"/>
      <c r="AK457" s="869"/>
      <c r="AL457" s="869"/>
      <c r="AM457" s="869"/>
      <c r="AN457" s="869"/>
      <c r="AO457" s="869"/>
      <c r="AP457" s="869"/>
      <c r="AQ457" s="869"/>
      <c r="AR457" s="869"/>
      <c r="AS457" s="869"/>
      <c r="AT457" s="869"/>
      <c r="AU457" s="869"/>
      <c r="AV457" s="869"/>
      <c r="AW457" s="869"/>
      <c r="AX457" s="869"/>
    </row>
    <row r="458" spans="8:8" customHeight="1">
      <c r="A458" s="859"/>
      <c r="B458" s="859"/>
      <c r="C458" s="859"/>
      <c r="D458" s="859"/>
      <c r="E458" s="975"/>
      <c r="F458" s="859"/>
      <c r="G458" s="859"/>
      <c r="H458" s="859"/>
      <c r="I458" s="859"/>
      <c r="J458" s="859"/>
      <c r="K458" s="859"/>
      <c r="L458" s="859"/>
      <c r="M458" s="859"/>
      <c r="N458" s="859"/>
      <c r="O458" s="859"/>
      <c r="P458" s="859"/>
      <c r="Q458" s="859"/>
      <c r="R458" s="859"/>
      <c r="S458" s="859"/>
      <c r="T458" s="859"/>
      <c r="U458" s="859"/>
      <c r="V458" s="859"/>
      <c r="W458" s="859"/>
      <c r="X458" s="859"/>
      <c r="Y458" s="859"/>
      <c r="Z458" s="859"/>
      <c r="AA458" s="859"/>
      <c r="AB458" s="859"/>
      <c r="AC458" s="859"/>
      <c r="AD458" s="859"/>
      <c r="AE458" s="869"/>
      <c r="AF458" s="869"/>
      <c r="AG458" s="869"/>
      <c r="AH458" s="869"/>
      <c r="AI458" s="869"/>
      <c r="AJ458" s="869"/>
      <c r="AK458" s="869"/>
      <c r="AL458" s="869"/>
      <c r="AM458" s="869"/>
      <c r="AN458" s="869"/>
      <c r="AO458" s="869"/>
      <c r="AP458" s="869"/>
      <c r="AQ458" s="869"/>
      <c r="AR458" s="869"/>
      <c r="AS458" s="869"/>
      <c r="AT458" s="869"/>
      <c r="AU458" s="869"/>
      <c r="AV458" s="869"/>
      <c r="AW458" s="869"/>
      <c r="AX458" s="869"/>
    </row>
    <row r="459" spans="8:8" customHeight="1">
      <c r="A459" s="859"/>
      <c r="B459" s="859"/>
      <c r="C459" s="859"/>
      <c r="D459" s="859"/>
      <c r="E459" s="975"/>
      <c r="F459" s="859"/>
      <c r="G459" s="859"/>
      <c r="H459" s="859"/>
      <c r="I459" s="859"/>
      <c r="J459" s="859"/>
      <c r="K459" s="859"/>
      <c r="L459" s="859"/>
      <c r="M459" s="859"/>
      <c r="N459" s="859"/>
      <c r="O459" s="859"/>
      <c r="P459" s="859"/>
      <c r="Q459" s="859"/>
      <c r="R459" s="859"/>
      <c r="S459" s="859"/>
      <c r="T459" s="859"/>
      <c r="U459" s="859"/>
      <c r="V459" s="859"/>
      <c r="W459" s="859"/>
      <c r="X459" s="859"/>
      <c r="Y459" s="859"/>
      <c r="Z459" s="859"/>
      <c r="AA459" s="859"/>
      <c r="AB459" s="859"/>
      <c r="AC459" s="859"/>
      <c r="AD459" s="859"/>
      <c r="AE459" s="869"/>
      <c r="AF459" s="869"/>
      <c r="AG459" s="869"/>
      <c r="AH459" s="869"/>
      <c r="AI459" s="869"/>
      <c r="AJ459" s="869"/>
      <c r="AK459" s="869"/>
      <c r="AL459" s="869"/>
      <c r="AM459" s="869"/>
      <c r="AN459" s="869"/>
      <c r="AO459" s="869"/>
      <c r="AP459" s="869"/>
      <c r="AQ459" s="869"/>
      <c r="AR459" s="869"/>
      <c r="AS459" s="869"/>
      <c r="AT459" s="869"/>
      <c r="AU459" s="869"/>
      <c r="AV459" s="869"/>
      <c r="AW459" s="869"/>
      <c r="AX459" s="869"/>
    </row>
    <row r="460" spans="8:8" customHeight="1">
      <c r="A460" s="859"/>
      <c r="B460" s="859"/>
      <c r="C460" s="859"/>
      <c r="D460" s="859"/>
      <c r="E460" s="975"/>
      <c r="F460" s="859"/>
      <c r="G460" s="859"/>
      <c r="H460" s="859"/>
      <c r="I460" s="859"/>
      <c r="J460" s="859"/>
      <c r="K460" s="859"/>
      <c r="L460" s="859"/>
      <c r="M460" s="859"/>
      <c r="N460" s="859"/>
      <c r="O460" s="859"/>
      <c r="P460" s="859"/>
      <c r="Q460" s="859"/>
      <c r="R460" s="859"/>
      <c r="S460" s="859"/>
      <c r="T460" s="859"/>
      <c r="U460" s="859"/>
      <c r="V460" s="859"/>
      <c r="W460" s="859"/>
      <c r="X460" s="859"/>
      <c r="Y460" s="859"/>
      <c r="Z460" s="859"/>
      <c r="AA460" s="859"/>
      <c r="AB460" s="859"/>
      <c r="AC460" s="859"/>
      <c r="AD460" s="859"/>
      <c r="AE460" s="869"/>
      <c r="AF460" s="869"/>
      <c r="AG460" s="869"/>
      <c r="AH460" s="869"/>
      <c r="AI460" s="869"/>
      <c r="AJ460" s="869"/>
      <c r="AK460" s="869"/>
      <c r="AL460" s="869"/>
      <c r="AM460" s="869"/>
      <c r="AN460" s="869"/>
      <c r="AO460" s="869"/>
      <c r="AP460" s="869"/>
      <c r="AQ460" s="869"/>
      <c r="AR460" s="869"/>
      <c r="AS460" s="869"/>
      <c r="AT460" s="869"/>
      <c r="AU460" s="869"/>
      <c r="AV460" s="869"/>
      <c r="AW460" s="869"/>
      <c r="AX460" s="869"/>
    </row>
    <row r="461" spans="8:8" customHeight="1">
      <c r="A461" s="859"/>
      <c r="B461" s="859"/>
      <c r="C461" s="859"/>
      <c r="D461" s="859"/>
      <c r="E461" s="975"/>
      <c r="F461" s="859"/>
      <c r="G461" s="859"/>
      <c r="H461" s="859"/>
      <c r="I461" s="859"/>
      <c r="J461" s="859"/>
      <c r="K461" s="859"/>
      <c r="L461" s="859"/>
      <c r="M461" s="859"/>
      <c r="N461" s="859"/>
      <c r="O461" s="859"/>
      <c r="P461" s="859"/>
      <c r="Q461" s="859"/>
      <c r="R461" s="859"/>
      <c r="S461" s="859"/>
      <c r="T461" s="859"/>
      <c r="U461" s="859"/>
      <c r="V461" s="859"/>
      <c r="W461" s="859"/>
      <c r="X461" s="859"/>
      <c r="Y461" s="859"/>
      <c r="Z461" s="859"/>
      <c r="AA461" s="859"/>
      <c r="AB461" s="859"/>
      <c r="AC461" s="859"/>
      <c r="AD461" s="859"/>
      <c r="AE461" s="869"/>
      <c r="AF461" s="869"/>
      <c r="AG461" s="869"/>
      <c r="AH461" s="869"/>
      <c r="AI461" s="869"/>
      <c r="AJ461" s="869"/>
      <c r="AK461" s="869"/>
      <c r="AL461" s="869"/>
      <c r="AM461" s="869"/>
      <c r="AN461" s="869"/>
      <c r="AO461" s="869"/>
      <c r="AP461" s="869"/>
      <c r="AQ461" s="869"/>
      <c r="AR461" s="869"/>
      <c r="AS461" s="869"/>
      <c r="AT461" s="869"/>
      <c r="AU461" s="869"/>
      <c r="AV461" s="869"/>
      <c r="AW461" s="869"/>
      <c r="AX461" s="869"/>
    </row>
    <row r="462" spans="8:8" customHeight="1">
      <c r="A462" s="859"/>
      <c r="B462" s="859"/>
      <c r="C462" s="859"/>
      <c r="D462" s="859"/>
      <c r="E462" s="975"/>
      <c r="F462" s="859"/>
      <c r="G462" s="859"/>
      <c r="H462" s="859"/>
      <c r="I462" s="859"/>
      <c r="J462" s="859"/>
      <c r="K462" s="859"/>
      <c r="L462" s="859"/>
      <c r="M462" s="859"/>
      <c r="N462" s="859"/>
      <c r="O462" s="859"/>
      <c r="P462" s="859"/>
      <c r="Q462" s="859"/>
      <c r="R462" s="859"/>
      <c r="S462" s="859"/>
      <c r="T462" s="859"/>
      <c r="U462" s="859"/>
      <c r="V462" s="859"/>
      <c r="W462" s="859"/>
      <c r="X462" s="859"/>
      <c r="Y462" s="859"/>
      <c r="Z462" s="859"/>
      <c r="AA462" s="859"/>
      <c r="AB462" s="859"/>
      <c r="AC462" s="859"/>
      <c r="AD462" s="859"/>
      <c r="AE462" s="869"/>
      <c r="AF462" s="869"/>
      <c r="AG462" s="869"/>
      <c r="AH462" s="869"/>
      <c r="AI462" s="869"/>
      <c r="AJ462" s="869"/>
      <c r="AK462" s="869"/>
      <c r="AL462" s="869"/>
      <c r="AM462" s="869"/>
      <c r="AN462" s="869"/>
      <c r="AO462" s="869"/>
      <c r="AP462" s="869"/>
      <c r="AQ462" s="869"/>
      <c r="AR462" s="869"/>
      <c r="AS462" s="869"/>
      <c r="AT462" s="869"/>
      <c r="AU462" s="869"/>
      <c r="AV462" s="869"/>
      <c r="AW462" s="869"/>
      <c r="AX462" s="869"/>
    </row>
    <row r="463" spans="8:8" customHeight="1">
      <c r="A463" s="859"/>
      <c r="B463" s="859"/>
      <c r="C463" s="859"/>
      <c r="D463" s="859"/>
      <c r="E463" s="975"/>
      <c r="F463" s="859"/>
      <c r="G463" s="859"/>
      <c r="H463" s="859"/>
      <c r="I463" s="859"/>
      <c r="J463" s="859"/>
      <c r="K463" s="859"/>
      <c r="L463" s="859"/>
      <c r="M463" s="859"/>
      <c r="N463" s="859"/>
      <c r="O463" s="859"/>
      <c r="P463" s="859"/>
      <c r="Q463" s="859"/>
      <c r="R463" s="859"/>
      <c r="S463" s="859"/>
      <c r="T463" s="859"/>
      <c r="U463" s="859"/>
      <c r="V463" s="859"/>
      <c r="W463" s="859"/>
      <c r="X463" s="859"/>
      <c r="Y463" s="859"/>
      <c r="Z463" s="859"/>
      <c r="AA463" s="859"/>
      <c r="AB463" s="859"/>
      <c r="AC463" s="859"/>
      <c r="AD463" s="859"/>
      <c r="AE463" s="869"/>
      <c r="AF463" s="869"/>
      <c r="AG463" s="869"/>
      <c r="AH463" s="869"/>
      <c r="AI463" s="869"/>
      <c r="AJ463" s="869"/>
      <c r="AK463" s="869"/>
      <c r="AL463" s="869"/>
      <c r="AM463" s="869"/>
      <c r="AN463" s="869"/>
      <c r="AO463" s="869"/>
      <c r="AP463" s="869"/>
      <c r="AQ463" s="869"/>
      <c r="AR463" s="869"/>
      <c r="AS463" s="869"/>
      <c r="AT463" s="869"/>
      <c r="AU463" s="869"/>
      <c r="AV463" s="869"/>
      <c r="AW463" s="869"/>
      <c r="AX463" s="869"/>
    </row>
    <row r="464" spans="8:8" customHeight="1">
      <c r="A464" s="859"/>
      <c r="B464" s="859"/>
      <c r="C464" s="859"/>
      <c r="D464" s="859"/>
      <c r="E464" s="975"/>
      <c r="F464" s="859"/>
      <c r="G464" s="859"/>
      <c r="H464" s="859"/>
      <c r="I464" s="859"/>
      <c r="J464" s="859"/>
      <c r="K464" s="859"/>
      <c r="L464" s="859"/>
      <c r="M464" s="859"/>
      <c r="N464" s="859"/>
      <c r="O464" s="859"/>
      <c r="P464" s="859"/>
      <c r="Q464" s="859"/>
      <c r="R464" s="859"/>
      <c r="S464" s="859"/>
      <c r="T464" s="859"/>
      <c r="U464" s="859"/>
      <c r="V464" s="859"/>
      <c r="W464" s="859"/>
      <c r="X464" s="859"/>
      <c r="Y464" s="859"/>
      <c r="Z464" s="859"/>
      <c r="AA464" s="859"/>
      <c r="AB464" s="859"/>
      <c r="AC464" s="859"/>
      <c r="AD464" s="859"/>
      <c r="AE464" s="869"/>
      <c r="AF464" s="869"/>
      <c r="AG464" s="869"/>
      <c r="AH464" s="869"/>
      <c r="AI464" s="869"/>
      <c r="AJ464" s="869"/>
      <c r="AK464" s="869"/>
      <c r="AL464" s="869"/>
      <c r="AM464" s="869"/>
      <c r="AN464" s="869"/>
      <c r="AO464" s="869"/>
      <c r="AP464" s="869"/>
      <c r="AQ464" s="869"/>
      <c r="AR464" s="869"/>
      <c r="AS464" s="869"/>
      <c r="AT464" s="869"/>
      <c r="AU464" s="869"/>
      <c r="AV464" s="869"/>
      <c r="AW464" s="869"/>
      <c r="AX464" s="869"/>
    </row>
    <row r="465" spans="8:8" customHeight="1">
      <c r="A465" s="859"/>
      <c r="B465" s="859"/>
      <c r="C465" s="859"/>
      <c r="D465" s="859"/>
      <c r="E465" s="975"/>
      <c r="F465" s="859"/>
      <c r="G465" s="859"/>
      <c r="H465" s="859"/>
      <c r="I465" s="859"/>
      <c r="J465" s="859"/>
      <c r="K465" s="859"/>
      <c r="L465" s="859"/>
      <c r="M465" s="859"/>
      <c r="N465" s="859"/>
      <c r="O465" s="859"/>
      <c r="P465" s="859"/>
      <c r="Q465" s="859"/>
      <c r="R465" s="859"/>
      <c r="S465" s="859"/>
      <c r="T465" s="859"/>
      <c r="U465" s="859"/>
      <c r="V465" s="859"/>
      <c r="W465" s="859"/>
      <c r="X465" s="859"/>
      <c r="Y465" s="859"/>
      <c r="Z465" s="859"/>
      <c r="AA465" s="859"/>
      <c r="AB465" s="859"/>
      <c r="AC465" s="859"/>
      <c r="AD465" s="859"/>
      <c r="AE465" s="869"/>
      <c r="AF465" s="869"/>
      <c r="AG465" s="869"/>
      <c r="AH465" s="869"/>
      <c r="AI465" s="869"/>
      <c r="AJ465" s="869"/>
      <c r="AK465" s="869"/>
      <c r="AL465" s="869"/>
      <c r="AM465" s="869"/>
      <c r="AN465" s="869"/>
      <c r="AO465" s="869"/>
      <c r="AP465" s="869"/>
      <c r="AQ465" s="869"/>
      <c r="AR465" s="869"/>
      <c r="AS465" s="869"/>
      <c r="AT465" s="869"/>
      <c r="AU465" s="869"/>
      <c r="AV465" s="869"/>
      <c r="AW465" s="869"/>
      <c r="AX465" s="869"/>
    </row>
    <row r="466" spans="8:8" customHeight="1">
      <c r="A466" s="859"/>
      <c r="B466" s="859"/>
      <c r="C466" s="859"/>
      <c r="D466" s="859"/>
      <c r="E466" s="975"/>
      <c r="F466" s="859"/>
      <c r="G466" s="859"/>
      <c r="H466" s="859"/>
      <c r="I466" s="859"/>
      <c r="J466" s="859"/>
      <c r="K466" s="859"/>
      <c r="L466" s="859"/>
      <c r="M466" s="859"/>
      <c r="N466" s="859"/>
      <c r="O466" s="859"/>
      <c r="P466" s="859"/>
      <c r="Q466" s="859"/>
      <c r="R466" s="859"/>
      <c r="S466" s="859"/>
      <c r="T466" s="859"/>
      <c r="U466" s="859"/>
      <c r="V466" s="859"/>
      <c r="W466" s="859"/>
      <c r="X466" s="859"/>
      <c r="Y466" s="859"/>
      <c r="Z466" s="859"/>
      <c r="AA466" s="859"/>
      <c r="AB466" s="859"/>
      <c r="AC466" s="859"/>
      <c r="AD466" s="859"/>
      <c r="AE466" s="869"/>
      <c r="AF466" s="869"/>
      <c r="AG466" s="869"/>
      <c r="AH466" s="869"/>
      <c r="AI466" s="869"/>
      <c r="AJ466" s="869"/>
      <c r="AK466" s="869"/>
      <c r="AL466" s="869"/>
      <c r="AM466" s="869"/>
      <c r="AN466" s="869"/>
      <c r="AO466" s="869"/>
      <c r="AP466" s="869"/>
      <c r="AQ466" s="869"/>
      <c r="AR466" s="869"/>
      <c r="AS466" s="869"/>
      <c r="AT466" s="869"/>
      <c r="AU466" s="869"/>
      <c r="AV466" s="869"/>
      <c r="AW466" s="869"/>
      <c r="AX466" s="869"/>
    </row>
    <row r="467" spans="8:8" customHeight="1">
      <c r="A467" s="859"/>
      <c r="B467" s="859"/>
      <c r="C467" s="859"/>
      <c r="D467" s="859"/>
      <c r="E467" s="975"/>
      <c r="F467" s="859"/>
      <c r="G467" s="859"/>
      <c r="H467" s="859"/>
      <c r="I467" s="859"/>
      <c r="J467" s="859"/>
      <c r="K467" s="859"/>
      <c r="L467" s="859"/>
      <c r="M467" s="859"/>
      <c r="N467" s="859"/>
      <c r="O467" s="859"/>
      <c r="P467" s="859"/>
      <c r="Q467" s="859"/>
      <c r="R467" s="859"/>
      <c r="S467" s="859"/>
      <c r="T467" s="859"/>
      <c r="U467" s="859"/>
      <c r="V467" s="859"/>
      <c r="W467" s="859"/>
      <c r="X467" s="859"/>
      <c r="Y467" s="859"/>
      <c r="Z467" s="859"/>
      <c r="AA467" s="859"/>
      <c r="AB467" s="859"/>
      <c r="AC467" s="859"/>
      <c r="AD467" s="859"/>
      <c r="AE467" s="869"/>
      <c r="AF467" s="869"/>
      <c r="AG467" s="869"/>
      <c r="AH467" s="869"/>
      <c r="AI467" s="869"/>
      <c r="AJ467" s="869"/>
      <c r="AK467" s="869"/>
      <c r="AL467" s="869"/>
      <c r="AM467" s="869"/>
      <c r="AN467" s="869"/>
      <c r="AO467" s="869"/>
      <c r="AP467" s="869"/>
      <c r="AQ467" s="869"/>
      <c r="AR467" s="869"/>
      <c r="AS467" s="869"/>
      <c r="AT467" s="869"/>
      <c r="AU467" s="869"/>
      <c r="AV467" s="869"/>
      <c r="AW467" s="869"/>
      <c r="AX467" s="869"/>
    </row>
    <row r="468" spans="8:8" customHeight="1">
      <c r="A468" s="859"/>
      <c r="B468" s="859"/>
      <c r="C468" s="859"/>
      <c r="D468" s="859"/>
      <c r="E468" s="975"/>
      <c r="F468" s="859"/>
      <c r="G468" s="859"/>
      <c r="H468" s="859"/>
      <c r="I468" s="859"/>
      <c r="J468" s="859"/>
      <c r="K468" s="859"/>
      <c r="L468" s="859"/>
      <c r="M468" s="859"/>
      <c r="N468" s="859"/>
      <c r="O468" s="859"/>
      <c r="P468" s="859"/>
      <c r="Q468" s="859"/>
      <c r="R468" s="859"/>
      <c r="S468" s="859"/>
      <c r="T468" s="859"/>
      <c r="U468" s="859"/>
      <c r="V468" s="859"/>
      <c r="W468" s="859"/>
      <c r="X468" s="859"/>
      <c r="Y468" s="859"/>
      <c r="Z468" s="859"/>
      <c r="AA468" s="859"/>
      <c r="AB468" s="859"/>
      <c r="AC468" s="859"/>
      <c r="AD468" s="859"/>
      <c r="AE468" s="869"/>
      <c r="AF468" s="869"/>
      <c r="AG468" s="869"/>
      <c r="AH468" s="869"/>
      <c r="AI468" s="869"/>
      <c r="AJ468" s="869"/>
      <c r="AK468" s="869"/>
      <c r="AL468" s="869"/>
      <c r="AM468" s="869"/>
      <c r="AN468" s="869"/>
      <c r="AO468" s="869"/>
      <c r="AP468" s="869"/>
      <c r="AQ468" s="869"/>
      <c r="AR468" s="869"/>
      <c r="AS468" s="869"/>
      <c r="AT468" s="869"/>
      <c r="AU468" s="869"/>
      <c r="AV468" s="869"/>
      <c r="AW468" s="869"/>
      <c r="AX468" s="869"/>
    </row>
    <row r="469" spans="8:8" customHeight="1">
      <c r="A469" s="859"/>
      <c r="B469" s="859"/>
      <c r="C469" s="859"/>
      <c r="D469" s="859"/>
      <c r="E469" s="975"/>
      <c r="F469" s="859"/>
      <c r="G469" s="859"/>
      <c r="H469" s="859"/>
      <c r="I469" s="859"/>
      <c r="J469" s="859"/>
      <c r="K469" s="859"/>
      <c r="L469" s="859"/>
      <c r="M469" s="859"/>
      <c r="N469" s="859"/>
      <c r="O469" s="859"/>
      <c r="P469" s="859"/>
      <c r="Q469" s="859"/>
      <c r="R469" s="859"/>
      <c r="S469" s="859"/>
      <c r="T469" s="859"/>
      <c r="U469" s="859"/>
      <c r="V469" s="859"/>
      <c r="W469" s="859"/>
      <c r="X469" s="859"/>
      <c r="Y469" s="859"/>
      <c r="Z469" s="859"/>
      <c r="AA469" s="859"/>
      <c r="AB469" s="859"/>
      <c r="AC469" s="859"/>
      <c r="AD469" s="859"/>
      <c r="AE469" s="869"/>
      <c r="AF469" s="869"/>
      <c r="AG469" s="869"/>
      <c r="AH469" s="869"/>
      <c r="AI469" s="869"/>
      <c r="AJ469" s="869"/>
      <c r="AK469" s="869"/>
      <c r="AL469" s="869"/>
      <c r="AM469" s="869"/>
      <c r="AN469" s="869"/>
      <c r="AO469" s="869"/>
      <c r="AP469" s="869"/>
      <c r="AQ469" s="869"/>
      <c r="AR469" s="869"/>
      <c r="AS469" s="869"/>
      <c r="AT469" s="869"/>
      <c r="AU469" s="869"/>
      <c r="AV469" s="869"/>
      <c r="AW469" s="869"/>
      <c r="AX469" s="869"/>
    </row>
    <row r="470" spans="8:8" customHeight="1">
      <c r="A470" s="859"/>
      <c r="B470" s="859"/>
      <c r="C470" s="859"/>
      <c r="D470" s="859"/>
      <c r="E470" s="975"/>
      <c r="F470" s="859"/>
      <c r="G470" s="859"/>
      <c r="H470" s="859"/>
      <c r="I470" s="859"/>
      <c r="J470" s="859"/>
      <c r="K470" s="859"/>
      <c r="L470" s="859"/>
      <c r="M470" s="859"/>
      <c r="N470" s="859"/>
      <c r="O470" s="859"/>
      <c r="P470" s="859"/>
      <c r="Q470" s="859"/>
      <c r="R470" s="859"/>
      <c r="S470" s="859"/>
      <c r="T470" s="859"/>
      <c r="U470" s="859"/>
      <c r="V470" s="859"/>
      <c r="W470" s="859"/>
      <c r="X470" s="859"/>
      <c r="Y470" s="859"/>
      <c r="Z470" s="859"/>
      <c r="AA470" s="859"/>
      <c r="AB470" s="859"/>
      <c r="AC470" s="859"/>
      <c r="AD470" s="859"/>
      <c r="AE470" s="869"/>
      <c r="AF470" s="869"/>
      <c r="AG470" s="869"/>
      <c r="AH470" s="869"/>
      <c r="AI470" s="869"/>
      <c r="AJ470" s="869"/>
      <c r="AK470" s="869"/>
      <c r="AL470" s="869"/>
      <c r="AM470" s="869"/>
      <c r="AN470" s="869"/>
      <c r="AO470" s="869"/>
      <c r="AP470" s="869"/>
      <c r="AQ470" s="869"/>
      <c r="AR470" s="869"/>
      <c r="AS470" s="869"/>
      <c r="AT470" s="869"/>
      <c r="AU470" s="869"/>
      <c r="AV470" s="869"/>
      <c r="AW470" s="869"/>
      <c r="AX470" s="869"/>
    </row>
    <row r="471" spans="8:8" customHeight="1">
      <c r="A471" s="859"/>
      <c r="B471" s="859"/>
      <c r="C471" s="859"/>
      <c r="D471" s="859"/>
      <c r="E471" s="975"/>
      <c r="F471" s="859"/>
      <c r="G471" s="859"/>
      <c r="H471" s="859"/>
      <c r="I471" s="859"/>
      <c r="J471" s="859"/>
      <c r="K471" s="859"/>
      <c r="L471" s="859"/>
      <c r="M471" s="859"/>
      <c r="N471" s="859"/>
      <c r="O471" s="859"/>
      <c r="P471" s="859"/>
      <c r="Q471" s="859"/>
      <c r="R471" s="859"/>
      <c r="S471" s="859"/>
      <c r="T471" s="859"/>
      <c r="U471" s="859"/>
      <c r="V471" s="859"/>
      <c r="W471" s="859"/>
      <c r="X471" s="859"/>
      <c r="Y471" s="859"/>
      <c r="Z471" s="859"/>
      <c r="AA471" s="859"/>
      <c r="AB471" s="859"/>
      <c r="AC471" s="859"/>
      <c r="AD471" s="859"/>
      <c r="AE471" s="869"/>
      <c r="AF471" s="869"/>
      <c r="AG471" s="869"/>
      <c r="AH471" s="869"/>
      <c r="AI471" s="869"/>
      <c r="AJ471" s="869"/>
      <c r="AK471" s="869"/>
      <c r="AL471" s="869"/>
      <c r="AM471" s="869"/>
      <c r="AN471" s="869"/>
      <c r="AO471" s="869"/>
      <c r="AP471" s="869"/>
      <c r="AQ471" s="869"/>
      <c r="AR471" s="869"/>
      <c r="AS471" s="869"/>
      <c r="AT471" s="869"/>
      <c r="AU471" s="869"/>
      <c r="AV471" s="869"/>
      <c r="AW471" s="869"/>
      <c r="AX471" s="869"/>
    </row>
    <row r="472" spans="8:8" customHeight="1">
      <c r="A472" s="859"/>
      <c r="B472" s="859"/>
      <c r="C472" s="859"/>
      <c r="D472" s="859"/>
      <c r="E472" s="975"/>
      <c r="F472" s="859"/>
      <c r="G472" s="859"/>
      <c r="H472" s="859"/>
      <c r="I472" s="859"/>
      <c r="J472" s="859"/>
      <c r="K472" s="859"/>
      <c r="L472" s="859"/>
      <c r="M472" s="859"/>
      <c r="N472" s="859"/>
      <c r="O472" s="859"/>
      <c r="P472" s="859"/>
      <c r="Q472" s="859"/>
      <c r="R472" s="859"/>
      <c r="S472" s="859"/>
      <c r="T472" s="859"/>
      <c r="U472" s="859"/>
      <c r="V472" s="859"/>
      <c r="W472" s="859"/>
      <c r="X472" s="859"/>
      <c r="Y472" s="859"/>
      <c r="Z472" s="859"/>
      <c r="AA472" s="859"/>
      <c r="AB472" s="859"/>
      <c r="AC472" s="859"/>
      <c r="AD472" s="859"/>
      <c r="AE472" s="869"/>
      <c r="AF472" s="869"/>
      <c r="AG472" s="869"/>
      <c r="AH472" s="869"/>
      <c r="AI472" s="869"/>
      <c r="AJ472" s="869"/>
      <c r="AK472" s="869"/>
      <c r="AL472" s="869"/>
      <c r="AM472" s="869"/>
      <c r="AN472" s="869"/>
      <c r="AO472" s="869"/>
      <c r="AP472" s="869"/>
      <c r="AQ472" s="869"/>
      <c r="AR472" s="869"/>
      <c r="AS472" s="869"/>
      <c r="AT472" s="869"/>
      <c r="AU472" s="869"/>
      <c r="AV472" s="869"/>
      <c r="AW472" s="869"/>
      <c r="AX472" s="869"/>
    </row>
    <row r="473" spans="8:8" customHeight="1">
      <c r="A473" s="859"/>
      <c r="B473" s="859"/>
      <c r="C473" s="859"/>
      <c r="D473" s="859"/>
      <c r="E473" s="975"/>
      <c r="F473" s="859"/>
      <c r="G473" s="859"/>
      <c r="H473" s="859"/>
      <c r="I473" s="859"/>
      <c r="J473" s="859"/>
      <c r="K473" s="859"/>
      <c r="L473" s="859"/>
      <c r="M473" s="859"/>
      <c r="N473" s="859"/>
      <c r="O473" s="859"/>
      <c r="P473" s="859"/>
      <c r="Q473" s="859"/>
      <c r="R473" s="859"/>
      <c r="S473" s="859"/>
      <c r="T473" s="859"/>
      <c r="U473" s="859"/>
      <c r="V473" s="859"/>
      <c r="W473" s="859"/>
      <c r="X473" s="859"/>
      <c r="Y473" s="859"/>
      <c r="Z473" s="859"/>
      <c r="AA473" s="859"/>
      <c r="AB473" s="859"/>
      <c r="AC473" s="859"/>
      <c r="AD473" s="859"/>
      <c r="AE473" s="869"/>
      <c r="AF473" s="869"/>
      <c r="AG473" s="869"/>
      <c r="AH473" s="869"/>
      <c r="AI473" s="869"/>
      <c r="AJ473" s="869"/>
      <c r="AK473" s="869"/>
      <c r="AL473" s="869"/>
      <c r="AM473" s="869"/>
      <c r="AN473" s="869"/>
      <c r="AO473" s="869"/>
      <c r="AP473" s="869"/>
      <c r="AQ473" s="869"/>
      <c r="AR473" s="869"/>
      <c r="AS473" s="869"/>
      <c r="AT473" s="869"/>
      <c r="AU473" s="869"/>
      <c r="AV473" s="869"/>
      <c r="AW473" s="869"/>
      <c r="AX473" s="869"/>
    </row>
    <row r="474" spans="8:8" customHeight="1">
      <c r="A474" s="859"/>
      <c r="B474" s="859"/>
      <c r="C474" s="859"/>
      <c r="D474" s="859"/>
      <c r="E474" s="975"/>
      <c r="F474" s="859"/>
      <c r="G474" s="859"/>
      <c r="H474" s="859"/>
      <c r="I474" s="859"/>
      <c r="J474" s="859"/>
      <c r="K474" s="859"/>
      <c r="L474" s="859"/>
      <c r="M474" s="859"/>
      <c r="N474" s="859"/>
      <c r="O474" s="859"/>
      <c r="P474" s="859"/>
      <c r="Q474" s="859"/>
      <c r="R474" s="859"/>
      <c r="S474" s="859"/>
      <c r="T474" s="859"/>
      <c r="U474" s="859"/>
      <c r="V474" s="859"/>
      <c r="W474" s="859"/>
      <c r="X474" s="859"/>
      <c r="Y474" s="859"/>
      <c r="Z474" s="859"/>
      <c r="AA474" s="859"/>
      <c r="AB474" s="859"/>
      <c r="AC474" s="859"/>
      <c r="AD474" s="859"/>
      <c r="AE474" s="869"/>
      <c r="AF474" s="869"/>
      <c r="AG474" s="869"/>
      <c r="AH474" s="869"/>
      <c r="AI474" s="869"/>
      <c r="AJ474" s="869"/>
      <c r="AK474" s="869"/>
      <c r="AL474" s="869"/>
      <c r="AM474" s="869"/>
      <c r="AN474" s="869"/>
      <c r="AO474" s="869"/>
      <c r="AP474" s="869"/>
      <c r="AQ474" s="869"/>
      <c r="AR474" s="869"/>
      <c r="AS474" s="869"/>
      <c r="AT474" s="869"/>
      <c r="AU474" s="869"/>
      <c r="AV474" s="869"/>
      <c r="AW474" s="869"/>
      <c r="AX474" s="869"/>
    </row>
    <row r="475" spans="8:8" customHeight="1">
      <c r="A475" s="859"/>
      <c r="B475" s="859"/>
      <c r="C475" s="859"/>
      <c r="D475" s="859"/>
      <c r="E475" s="975"/>
      <c r="F475" s="859"/>
      <c r="G475" s="859"/>
      <c r="H475" s="859"/>
      <c r="I475" s="859"/>
      <c r="J475" s="859"/>
      <c r="K475" s="859"/>
      <c r="L475" s="859"/>
      <c r="M475" s="859"/>
      <c r="N475" s="859"/>
      <c r="O475" s="859"/>
      <c r="P475" s="859"/>
      <c r="Q475" s="859"/>
      <c r="R475" s="859"/>
      <c r="S475" s="859"/>
      <c r="T475" s="859"/>
      <c r="U475" s="859"/>
      <c r="V475" s="859"/>
      <c r="W475" s="859"/>
      <c r="X475" s="859"/>
      <c r="Y475" s="859"/>
      <c r="Z475" s="859"/>
      <c r="AA475" s="859"/>
      <c r="AB475" s="859"/>
      <c r="AC475" s="859"/>
      <c r="AD475" s="859"/>
      <c r="AE475" s="869"/>
      <c r="AF475" s="869"/>
      <c r="AG475" s="869"/>
      <c r="AH475" s="869"/>
      <c r="AI475" s="869"/>
      <c r="AJ475" s="869"/>
      <c r="AK475" s="869"/>
      <c r="AL475" s="869"/>
      <c r="AM475" s="869"/>
      <c r="AN475" s="869"/>
      <c r="AO475" s="869"/>
      <c r="AP475" s="869"/>
      <c r="AQ475" s="869"/>
      <c r="AR475" s="869"/>
      <c r="AS475" s="869"/>
      <c r="AT475" s="869"/>
      <c r="AU475" s="869"/>
      <c r="AV475" s="869"/>
      <c r="AW475" s="869"/>
      <c r="AX475" s="869"/>
    </row>
    <row r="476" spans="8:8" customHeight="1">
      <c r="A476" s="859"/>
      <c r="B476" s="859"/>
      <c r="C476" s="859"/>
      <c r="D476" s="859"/>
      <c r="E476" s="975"/>
      <c r="F476" s="859"/>
      <c r="G476" s="859"/>
      <c r="H476" s="859"/>
      <c r="I476" s="859"/>
      <c r="J476" s="859"/>
      <c r="K476" s="859"/>
      <c r="L476" s="859"/>
      <c r="M476" s="859"/>
      <c r="N476" s="859"/>
      <c r="O476" s="859"/>
      <c r="P476" s="859"/>
      <c r="Q476" s="859"/>
      <c r="R476" s="859"/>
      <c r="S476" s="859"/>
      <c r="T476" s="859"/>
      <c r="U476" s="859"/>
      <c r="V476" s="859"/>
      <c r="W476" s="859"/>
      <c r="X476" s="859"/>
      <c r="Y476" s="859"/>
      <c r="Z476" s="859"/>
      <c r="AA476" s="859"/>
      <c r="AB476" s="859"/>
      <c r="AC476" s="859"/>
      <c r="AD476" s="859"/>
      <c r="AE476" s="869"/>
      <c r="AF476" s="869"/>
      <c r="AG476" s="869"/>
      <c r="AH476" s="869"/>
      <c r="AI476" s="869"/>
      <c r="AJ476" s="869"/>
      <c r="AK476" s="869"/>
      <c r="AL476" s="869"/>
      <c r="AM476" s="869"/>
      <c r="AN476" s="869"/>
      <c r="AO476" s="869"/>
      <c r="AP476" s="869"/>
      <c r="AQ476" s="869"/>
      <c r="AR476" s="869"/>
      <c r="AS476" s="869"/>
      <c r="AT476" s="869"/>
      <c r="AU476" s="869"/>
      <c r="AV476" s="869"/>
      <c r="AW476" s="869"/>
      <c r="AX476" s="869"/>
    </row>
    <row r="477" spans="8:8" customHeight="1">
      <c r="A477" s="859"/>
      <c r="B477" s="859"/>
      <c r="C477" s="859"/>
      <c r="D477" s="859"/>
      <c r="E477" s="975"/>
      <c r="F477" s="859"/>
      <c r="G477" s="859"/>
      <c r="H477" s="859"/>
      <c r="I477" s="859"/>
      <c r="J477" s="859"/>
      <c r="K477" s="859"/>
      <c r="L477" s="859"/>
      <c r="M477" s="859"/>
      <c r="N477" s="859"/>
      <c r="O477" s="859"/>
      <c r="P477" s="859"/>
      <c r="Q477" s="859"/>
      <c r="R477" s="859"/>
      <c r="S477" s="859"/>
      <c r="T477" s="859"/>
      <c r="U477" s="859"/>
      <c r="V477" s="859"/>
      <c r="W477" s="859"/>
      <c r="X477" s="859"/>
      <c r="Y477" s="859"/>
      <c r="Z477" s="859"/>
      <c r="AA477" s="859"/>
      <c r="AB477" s="859"/>
      <c r="AC477" s="859"/>
      <c r="AD477" s="859"/>
      <c r="AE477" s="869"/>
      <c r="AF477" s="869"/>
      <c r="AG477" s="869"/>
      <c r="AH477" s="869"/>
      <c r="AI477" s="869"/>
      <c r="AJ477" s="869"/>
      <c r="AK477" s="869"/>
      <c r="AL477" s="869"/>
      <c r="AM477" s="869"/>
      <c r="AN477" s="869"/>
      <c r="AO477" s="869"/>
      <c r="AP477" s="869"/>
      <c r="AQ477" s="869"/>
      <c r="AR477" s="869"/>
      <c r="AS477" s="869"/>
      <c r="AT477" s="869"/>
      <c r="AU477" s="869"/>
      <c r="AV477" s="869"/>
      <c r="AW477" s="869"/>
      <c r="AX477" s="869"/>
    </row>
    <row r="478" spans="8:8" customHeight="1">
      <c r="A478" s="859"/>
      <c r="B478" s="859"/>
      <c r="C478" s="859"/>
      <c r="D478" s="859"/>
      <c r="E478" s="975"/>
      <c r="F478" s="859"/>
      <c r="G478" s="859"/>
      <c r="H478" s="859"/>
      <c r="I478" s="859"/>
      <c r="J478" s="859"/>
      <c r="K478" s="859"/>
      <c r="L478" s="859"/>
      <c r="M478" s="859"/>
      <c r="N478" s="859"/>
      <c r="O478" s="859"/>
      <c r="P478" s="859"/>
      <c r="Q478" s="859"/>
      <c r="R478" s="859"/>
      <c r="S478" s="859"/>
      <c r="T478" s="859"/>
      <c r="U478" s="859"/>
      <c r="V478" s="859"/>
      <c r="W478" s="859"/>
      <c r="X478" s="859"/>
      <c r="Y478" s="859"/>
      <c r="Z478" s="859"/>
      <c r="AA478" s="859"/>
      <c r="AB478" s="859"/>
      <c r="AC478" s="859"/>
      <c r="AD478" s="859"/>
      <c r="AE478" s="869"/>
      <c r="AF478" s="869"/>
      <c r="AG478" s="869"/>
      <c r="AH478" s="869"/>
      <c r="AI478" s="869"/>
      <c r="AJ478" s="869"/>
      <c r="AK478" s="869"/>
      <c r="AL478" s="869"/>
      <c r="AM478" s="869"/>
      <c r="AN478" s="869"/>
      <c r="AO478" s="869"/>
      <c r="AP478" s="869"/>
      <c r="AQ478" s="869"/>
      <c r="AR478" s="869"/>
      <c r="AS478" s="869"/>
      <c r="AT478" s="869"/>
      <c r="AU478" s="869"/>
      <c r="AV478" s="869"/>
      <c r="AW478" s="869"/>
      <c r="AX478" s="869"/>
    </row>
    <row r="479" spans="8:8" customHeight="1">
      <c r="A479" s="859"/>
      <c r="B479" s="859"/>
      <c r="C479" s="859"/>
      <c r="D479" s="859"/>
      <c r="E479" s="975"/>
      <c r="F479" s="859"/>
      <c r="G479" s="859"/>
      <c r="H479" s="859"/>
      <c r="I479" s="859"/>
      <c r="J479" s="859"/>
      <c r="K479" s="859"/>
      <c r="L479" s="859"/>
      <c r="M479" s="859"/>
      <c r="N479" s="859"/>
      <c r="O479" s="859"/>
      <c r="P479" s="859"/>
      <c r="Q479" s="859"/>
      <c r="R479" s="859"/>
      <c r="S479" s="859"/>
      <c r="T479" s="859"/>
      <c r="U479" s="859"/>
      <c r="V479" s="859"/>
      <c r="W479" s="859"/>
      <c r="X479" s="859"/>
      <c r="Y479" s="859"/>
      <c r="Z479" s="859"/>
      <c r="AA479" s="859"/>
      <c r="AB479" s="859"/>
      <c r="AC479" s="859"/>
      <c r="AD479" s="859"/>
      <c r="AE479" s="869"/>
      <c r="AF479" s="869"/>
      <c r="AG479" s="869"/>
      <c r="AH479" s="869"/>
      <c r="AI479" s="869"/>
      <c r="AJ479" s="869"/>
      <c r="AK479" s="869"/>
      <c r="AL479" s="869"/>
      <c r="AM479" s="869"/>
      <c r="AN479" s="869"/>
      <c r="AO479" s="869"/>
      <c r="AP479" s="869"/>
      <c r="AQ479" s="869"/>
      <c r="AR479" s="869"/>
      <c r="AS479" s="869"/>
      <c r="AT479" s="869"/>
      <c r="AU479" s="869"/>
      <c r="AV479" s="869"/>
      <c r="AW479" s="869"/>
      <c r="AX479" s="869"/>
    </row>
    <row r="480" spans="8:8" customHeight="1">
      <c r="A480" s="859"/>
      <c r="B480" s="859"/>
      <c r="C480" s="859"/>
      <c r="D480" s="859"/>
      <c r="E480" s="975"/>
      <c r="F480" s="859"/>
      <c r="G480" s="859"/>
      <c r="H480" s="859"/>
      <c r="I480" s="859"/>
      <c r="J480" s="859"/>
      <c r="K480" s="859"/>
      <c r="L480" s="859"/>
      <c r="M480" s="859"/>
      <c r="N480" s="859"/>
      <c r="O480" s="859"/>
      <c r="P480" s="859"/>
      <c r="Q480" s="859"/>
      <c r="R480" s="859"/>
      <c r="S480" s="859"/>
      <c r="T480" s="859"/>
      <c r="U480" s="859"/>
      <c r="V480" s="859"/>
      <c r="W480" s="859"/>
      <c r="X480" s="859"/>
      <c r="Y480" s="859"/>
      <c r="Z480" s="859"/>
      <c r="AA480" s="859"/>
      <c r="AB480" s="859"/>
      <c r="AC480" s="859"/>
      <c r="AD480" s="859"/>
      <c r="AE480" s="869"/>
      <c r="AF480" s="869"/>
      <c r="AG480" s="869"/>
      <c r="AH480" s="869"/>
      <c r="AI480" s="869"/>
      <c r="AJ480" s="869"/>
      <c r="AK480" s="869"/>
      <c r="AL480" s="869"/>
      <c r="AM480" s="869"/>
      <c r="AN480" s="869"/>
      <c r="AO480" s="869"/>
      <c r="AP480" s="869"/>
      <c r="AQ480" s="869"/>
      <c r="AR480" s="869"/>
      <c r="AS480" s="869"/>
      <c r="AT480" s="869"/>
      <c r="AU480" s="869"/>
      <c r="AV480" s="869"/>
      <c r="AW480" s="869"/>
      <c r="AX480" s="869"/>
    </row>
    <row r="481" spans="8:8" customHeight="1">
      <c r="A481" s="859"/>
      <c r="B481" s="859"/>
      <c r="C481" s="859"/>
      <c r="D481" s="859"/>
      <c r="E481" s="975"/>
      <c r="F481" s="859"/>
      <c r="G481" s="859"/>
      <c r="H481" s="859"/>
      <c r="I481" s="859"/>
      <c r="J481" s="859"/>
      <c r="K481" s="859"/>
      <c r="L481" s="859"/>
      <c r="M481" s="859"/>
      <c r="N481" s="859"/>
      <c r="O481" s="859"/>
      <c r="P481" s="859"/>
      <c r="Q481" s="859"/>
      <c r="R481" s="859"/>
      <c r="S481" s="859"/>
      <c r="T481" s="859"/>
      <c r="U481" s="859"/>
      <c r="V481" s="859"/>
      <c r="W481" s="859"/>
      <c r="X481" s="859"/>
      <c r="Y481" s="859"/>
      <c r="Z481" s="859"/>
      <c r="AA481" s="859"/>
      <c r="AB481" s="859"/>
      <c r="AC481" s="859"/>
      <c r="AD481" s="859"/>
      <c r="AE481" s="869"/>
      <c r="AF481" s="869"/>
      <c r="AG481" s="869"/>
      <c r="AH481" s="869"/>
      <c r="AI481" s="869"/>
      <c r="AJ481" s="869"/>
      <c r="AK481" s="869"/>
      <c r="AL481" s="869"/>
      <c r="AM481" s="869"/>
      <c r="AN481" s="869"/>
      <c r="AO481" s="869"/>
      <c r="AP481" s="869"/>
      <c r="AQ481" s="869"/>
      <c r="AR481" s="869"/>
      <c r="AS481" s="869"/>
      <c r="AT481" s="869"/>
      <c r="AU481" s="869"/>
      <c r="AV481" s="869"/>
      <c r="AW481" s="869"/>
      <c r="AX481" s="869"/>
    </row>
    <row r="482" spans="8:8" customHeight="1">
      <c r="A482" s="859"/>
      <c r="B482" s="859"/>
      <c r="C482" s="859"/>
      <c r="D482" s="859"/>
      <c r="E482" s="975"/>
      <c r="F482" s="859"/>
      <c r="G482" s="859"/>
      <c r="H482" s="859"/>
      <c r="I482" s="859"/>
      <c r="J482" s="859"/>
      <c r="K482" s="859"/>
      <c r="L482" s="859"/>
      <c r="M482" s="859"/>
      <c r="N482" s="859"/>
      <c r="O482" s="859"/>
      <c r="P482" s="859"/>
      <c r="Q482" s="859"/>
      <c r="R482" s="859"/>
      <c r="S482" s="859"/>
      <c r="T482" s="859"/>
      <c r="U482" s="859"/>
      <c r="V482" s="859"/>
      <c r="W482" s="859"/>
      <c r="X482" s="859"/>
      <c r="Y482" s="859"/>
      <c r="Z482" s="859"/>
      <c r="AA482" s="859"/>
      <c r="AB482" s="859"/>
      <c r="AC482" s="859"/>
      <c r="AD482" s="859"/>
      <c r="AE482" s="869"/>
      <c r="AF482" s="869"/>
      <c r="AG482" s="869"/>
      <c r="AH482" s="869"/>
      <c r="AI482" s="869"/>
      <c r="AJ482" s="869"/>
      <c r="AK482" s="869"/>
      <c r="AL482" s="869"/>
      <c r="AM482" s="869"/>
      <c r="AN482" s="869"/>
      <c r="AO482" s="869"/>
      <c r="AP482" s="869"/>
      <c r="AQ482" s="869"/>
      <c r="AR482" s="869"/>
      <c r="AS482" s="869"/>
      <c r="AT482" s="869"/>
      <c r="AU482" s="869"/>
      <c r="AV482" s="869"/>
      <c r="AW482" s="869"/>
      <c r="AX482" s="869"/>
    </row>
    <row r="483" spans="8:8" customHeight="1">
      <c r="A483" s="859"/>
      <c r="B483" s="859"/>
      <c r="C483" s="859"/>
      <c r="D483" s="859"/>
      <c r="E483" s="975"/>
      <c r="F483" s="859"/>
      <c r="G483" s="859"/>
      <c r="H483" s="859"/>
      <c r="I483" s="859"/>
      <c r="J483" s="859"/>
      <c r="K483" s="859"/>
      <c r="L483" s="859"/>
      <c r="M483" s="859"/>
      <c r="N483" s="859"/>
      <c r="O483" s="859"/>
      <c r="P483" s="859"/>
      <c r="Q483" s="859"/>
      <c r="R483" s="859"/>
      <c r="S483" s="859"/>
      <c r="T483" s="859"/>
      <c r="U483" s="859"/>
      <c r="V483" s="859"/>
      <c r="W483" s="859"/>
      <c r="X483" s="859"/>
      <c r="Y483" s="859"/>
      <c r="Z483" s="859"/>
      <c r="AA483" s="859"/>
      <c r="AB483" s="859"/>
      <c r="AC483" s="859"/>
      <c r="AD483" s="859"/>
      <c r="AE483" s="869"/>
      <c r="AF483" s="869"/>
      <c r="AG483" s="869"/>
      <c r="AH483" s="869"/>
      <c r="AI483" s="869"/>
      <c r="AJ483" s="869"/>
      <c r="AK483" s="869"/>
      <c r="AL483" s="869"/>
      <c r="AM483" s="869"/>
      <c r="AN483" s="869"/>
      <c r="AO483" s="869"/>
      <c r="AP483" s="869"/>
      <c r="AQ483" s="869"/>
      <c r="AR483" s="869"/>
      <c r="AS483" s="869"/>
      <c r="AT483" s="869"/>
      <c r="AU483" s="869"/>
      <c r="AV483" s="869"/>
      <c r="AW483" s="869"/>
      <c r="AX483" s="869"/>
    </row>
    <row r="484" spans="8:8" customHeight="1">
      <c r="A484" s="859"/>
      <c r="B484" s="859"/>
      <c r="C484" s="859"/>
      <c r="D484" s="859"/>
      <c r="E484" s="975"/>
      <c r="F484" s="859"/>
      <c r="G484" s="859"/>
      <c r="H484" s="859"/>
      <c r="I484" s="859"/>
      <c r="J484" s="859"/>
      <c r="K484" s="859"/>
      <c r="L484" s="859"/>
      <c r="M484" s="859"/>
      <c r="N484" s="859"/>
      <c r="O484" s="859"/>
      <c r="P484" s="859"/>
      <c r="Q484" s="859"/>
      <c r="R484" s="859"/>
      <c r="S484" s="859"/>
      <c r="T484" s="859"/>
      <c r="U484" s="859"/>
      <c r="V484" s="859"/>
      <c r="W484" s="859"/>
      <c r="X484" s="859"/>
      <c r="Y484" s="859"/>
      <c r="Z484" s="859"/>
      <c r="AA484" s="859"/>
      <c r="AB484" s="859"/>
      <c r="AC484" s="859"/>
      <c r="AD484" s="859"/>
      <c r="AE484" s="869"/>
      <c r="AF484" s="869"/>
      <c r="AG484" s="869"/>
      <c r="AH484" s="869"/>
      <c r="AI484" s="869"/>
      <c r="AJ484" s="869"/>
      <c r="AK484" s="869"/>
      <c r="AL484" s="869"/>
      <c r="AM484" s="869"/>
      <c r="AN484" s="869"/>
      <c r="AO484" s="869"/>
      <c r="AP484" s="869"/>
      <c r="AQ484" s="869"/>
      <c r="AR484" s="869"/>
      <c r="AS484" s="869"/>
      <c r="AT484" s="869"/>
      <c r="AU484" s="869"/>
      <c r="AV484" s="869"/>
      <c r="AW484" s="869"/>
      <c r="AX484" s="869"/>
    </row>
    <row r="485" spans="8:8" customHeight="1">
      <c r="A485" s="859"/>
      <c r="B485" s="859"/>
      <c r="C485" s="859"/>
      <c r="D485" s="859"/>
      <c r="E485" s="975"/>
      <c r="F485" s="859"/>
      <c r="G485" s="859"/>
      <c r="H485" s="859"/>
      <c r="I485" s="859"/>
      <c r="J485" s="859"/>
      <c r="K485" s="859"/>
      <c r="L485" s="859"/>
      <c r="M485" s="859"/>
      <c r="N485" s="859"/>
      <c r="O485" s="859"/>
      <c r="P485" s="859"/>
      <c r="Q485" s="859"/>
      <c r="R485" s="859"/>
      <c r="S485" s="859"/>
      <c r="T485" s="859"/>
      <c r="U485" s="859"/>
      <c r="V485" s="859"/>
      <c r="W485" s="859"/>
      <c r="X485" s="859"/>
      <c r="Y485" s="859"/>
      <c r="Z485" s="859"/>
      <c r="AA485" s="859"/>
      <c r="AB485" s="859"/>
      <c r="AC485" s="859"/>
      <c r="AD485" s="859"/>
      <c r="AE485" s="869"/>
      <c r="AF485" s="869"/>
      <c r="AG485" s="869"/>
      <c r="AH485" s="869"/>
      <c r="AI485" s="869"/>
      <c r="AJ485" s="869"/>
      <c r="AK485" s="869"/>
      <c r="AL485" s="869"/>
      <c r="AM485" s="869"/>
      <c r="AN485" s="869"/>
      <c r="AO485" s="869"/>
      <c r="AP485" s="869"/>
      <c r="AQ485" s="869"/>
      <c r="AR485" s="869"/>
      <c r="AS485" s="869"/>
      <c r="AT485" s="869"/>
      <c r="AU485" s="869"/>
      <c r="AV485" s="869"/>
      <c r="AW485" s="869"/>
      <c r="AX485" s="869"/>
    </row>
    <row r="486" spans="8:8" customHeight="1">
      <c r="A486" s="859"/>
      <c r="B486" s="859"/>
      <c r="C486" s="859"/>
      <c r="D486" s="859"/>
      <c r="E486" s="975"/>
      <c r="F486" s="859"/>
      <c r="G486" s="859"/>
      <c r="H486" s="859"/>
      <c r="I486" s="859"/>
      <c r="J486" s="859"/>
      <c r="K486" s="859"/>
      <c r="L486" s="859"/>
      <c r="M486" s="859"/>
      <c r="N486" s="859"/>
      <c r="O486" s="859"/>
      <c r="P486" s="859"/>
      <c r="Q486" s="859"/>
      <c r="R486" s="859"/>
      <c r="S486" s="859"/>
      <c r="T486" s="859"/>
      <c r="U486" s="859"/>
      <c r="V486" s="859"/>
      <c r="W486" s="859"/>
      <c r="X486" s="859"/>
      <c r="Y486" s="859"/>
      <c r="Z486" s="859"/>
      <c r="AA486" s="859"/>
      <c r="AB486" s="859"/>
      <c r="AC486" s="859"/>
      <c r="AD486" s="859"/>
      <c r="AE486" s="869"/>
      <c r="AF486" s="869"/>
      <c r="AG486" s="869"/>
      <c r="AH486" s="869"/>
      <c r="AI486" s="869"/>
      <c r="AJ486" s="869"/>
      <c r="AK486" s="869"/>
      <c r="AL486" s="869"/>
      <c r="AM486" s="869"/>
      <c r="AN486" s="869"/>
      <c r="AO486" s="869"/>
      <c r="AP486" s="869"/>
      <c r="AQ486" s="869"/>
      <c r="AR486" s="869"/>
      <c r="AS486" s="869"/>
      <c r="AT486" s="869"/>
      <c r="AU486" s="869"/>
      <c r="AV486" s="869"/>
      <c r="AW486" s="869"/>
      <c r="AX486" s="869"/>
    </row>
    <row r="487" spans="8:8" customHeight="1">
      <c r="A487" s="859"/>
      <c r="B487" s="859"/>
      <c r="C487" s="859"/>
      <c r="D487" s="859"/>
      <c r="E487" s="975"/>
      <c r="F487" s="859"/>
      <c r="G487" s="859"/>
      <c r="H487" s="859"/>
      <c r="I487" s="859"/>
      <c r="J487" s="859"/>
      <c r="K487" s="859"/>
      <c r="L487" s="859"/>
      <c r="M487" s="859"/>
      <c r="N487" s="859"/>
      <c r="O487" s="859"/>
      <c r="P487" s="859"/>
      <c r="Q487" s="859"/>
      <c r="R487" s="859"/>
      <c r="S487" s="859"/>
      <c r="T487" s="859"/>
      <c r="U487" s="859"/>
      <c r="V487" s="859"/>
      <c r="W487" s="859"/>
      <c r="X487" s="859"/>
      <c r="Y487" s="859"/>
      <c r="Z487" s="859"/>
      <c r="AA487" s="859"/>
      <c r="AB487" s="859"/>
      <c r="AC487" s="859"/>
      <c r="AD487" s="859"/>
      <c r="AE487" s="869"/>
      <c r="AF487" s="869"/>
      <c r="AG487" s="869"/>
      <c r="AH487" s="869"/>
      <c r="AI487" s="869"/>
      <c r="AJ487" s="869"/>
      <c r="AK487" s="869"/>
      <c r="AL487" s="869"/>
      <c r="AM487" s="869"/>
      <c r="AN487" s="869"/>
      <c r="AO487" s="869"/>
      <c r="AP487" s="869"/>
      <c r="AQ487" s="869"/>
      <c r="AR487" s="869"/>
      <c r="AS487" s="869"/>
      <c r="AT487" s="869"/>
      <c r="AU487" s="869"/>
      <c r="AV487" s="869"/>
      <c r="AW487" s="869"/>
      <c r="AX487" s="869"/>
    </row>
    <row r="488" spans="8:8" customHeight="1">
      <c r="A488" s="859"/>
      <c r="B488" s="859"/>
      <c r="C488" s="859"/>
      <c r="D488" s="859"/>
      <c r="E488" s="975"/>
      <c r="F488" s="859"/>
      <c r="G488" s="859"/>
      <c r="H488" s="859"/>
      <c r="I488" s="859"/>
      <c r="J488" s="859"/>
      <c r="K488" s="859"/>
      <c r="L488" s="859"/>
      <c r="M488" s="859"/>
      <c r="N488" s="859"/>
      <c r="O488" s="859"/>
      <c r="P488" s="859"/>
      <c r="Q488" s="859"/>
      <c r="R488" s="859"/>
      <c r="S488" s="859"/>
      <c r="T488" s="859"/>
      <c r="U488" s="859"/>
      <c r="V488" s="859"/>
      <c r="W488" s="859"/>
      <c r="X488" s="859"/>
      <c r="Y488" s="859"/>
      <c r="Z488" s="859"/>
      <c r="AA488" s="859"/>
      <c r="AB488" s="859"/>
      <c r="AC488" s="859"/>
      <c r="AD488" s="859"/>
      <c r="AE488" s="869"/>
      <c r="AF488" s="869"/>
      <c r="AG488" s="869"/>
      <c r="AH488" s="869"/>
      <c r="AI488" s="869"/>
      <c r="AJ488" s="869"/>
      <c r="AK488" s="869"/>
      <c r="AL488" s="869"/>
      <c r="AM488" s="869"/>
      <c r="AN488" s="869"/>
      <c r="AO488" s="869"/>
      <c r="AP488" s="869"/>
      <c r="AQ488" s="869"/>
      <c r="AR488" s="869"/>
      <c r="AS488" s="869"/>
      <c r="AT488" s="869"/>
      <c r="AU488" s="869"/>
      <c r="AV488" s="869"/>
      <c r="AW488" s="869"/>
      <c r="AX488" s="869"/>
    </row>
    <row r="489" spans="8:8" customHeight="1">
      <c r="A489" s="859"/>
      <c r="B489" s="859"/>
      <c r="C489" s="859"/>
      <c r="D489" s="859"/>
      <c r="E489" s="975"/>
      <c r="F489" s="859"/>
      <c r="G489" s="859"/>
      <c r="H489" s="859"/>
      <c r="I489" s="859"/>
      <c r="J489" s="859"/>
      <c r="K489" s="859"/>
      <c r="L489" s="859"/>
      <c r="M489" s="859"/>
      <c r="N489" s="859"/>
      <c r="O489" s="859"/>
      <c r="P489" s="859"/>
      <c r="Q489" s="859"/>
      <c r="R489" s="859"/>
      <c r="S489" s="859"/>
      <c r="T489" s="859"/>
      <c r="U489" s="859"/>
      <c r="V489" s="859"/>
      <c r="W489" s="859"/>
      <c r="X489" s="859"/>
      <c r="Y489" s="859"/>
      <c r="Z489" s="859"/>
      <c r="AA489" s="859"/>
      <c r="AB489" s="859"/>
      <c r="AC489" s="859"/>
      <c r="AD489" s="859"/>
      <c r="AE489" s="869"/>
      <c r="AF489" s="869"/>
      <c r="AG489" s="869"/>
      <c r="AH489" s="869"/>
      <c r="AI489" s="869"/>
      <c r="AJ489" s="869"/>
      <c r="AK489" s="869"/>
      <c r="AL489" s="869"/>
      <c r="AM489" s="869"/>
      <c r="AN489" s="869"/>
      <c r="AO489" s="869"/>
      <c r="AP489" s="869"/>
      <c r="AQ489" s="869"/>
      <c r="AR489" s="869"/>
      <c r="AS489" s="869"/>
      <c r="AT489" s="869"/>
      <c r="AU489" s="869"/>
      <c r="AV489" s="869"/>
      <c r="AW489" s="869"/>
      <c r="AX489" s="869"/>
    </row>
    <row r="490" spans="8:8" customHeight="1">
      <c r="A490" s="859"/>
      <c r="B490" s="859"/>
      <c r="C490" s="859"/>
      <c r="D490" s="859"/>
      <c r="E490" s="975"/>
      <c r="F490" s="859"/>
      <c r="G490" s="859"/>
      <c r="H490" s="859"/>
      <c r="I490" s="859"/>
      <c r="J490" s="859"/>
      <c r="K490" s="859"/>
      <c r="L490" s="859"/>
      <c r="M490" s="859"/>
      <c r="N490" s="859"/>
      <c r="O490" s="859"/>
      <c r="P490" s="859"/>
      <c r="Q490" s="859"/>
      <c r="R490" s="859"/>
      <c r="S490" s="859"/>
      <c r="T490" s="859"/>
      <c r="U490" s="859"/>
      <c r="V490" s="859"/>
      <c r="W490" s="859"/>
      <c r="X490" s="859"/>
      <c r="Y490" s="859"/>
      <c r="Z490" s="859"/>
      <c r="AA490" s="859"/>
      <c r="AB490" s="859"/>
      <c r="AC490" s="859"/>
      <c r="AD490" s="859"/>
      <c r="AE490" s="869"/>
      <c r="AF490" s="869"/>
      <c r="AG490" s="869"/>
      <c r="AH490" s="869"/>
      <c r="AI490" s="869"/>
      <c r="AJ490" s="869"/>
      <c r="AK490" s="869"/>
      <c r="AL490" s="869"/>
      <c r="AM490" s="869"/>
      <c r="AN490" s="869"/>
      <c r="AO490" s="869"/>
      <c r="AP490" s="869"/>
      <c r="AQ490" s="869"/>
      <c r="AR490" s="869"/>
      <c r="AS490" s="869"/>
      <c r="AT490" s="869"/>
      <c r="AU490" s="869"/>
      <c r="AV490" s="869"/>
      <c r="AW490" s="869"/>
      <c r="AX490" s="869"/>
    </row>
    <row r="491" spans="8:8" customHeight="1">
      <c r="A491" s="859"/>
      <c r="B491" s="859"/>
      <c r="C491" s="859"/>
      <c r="D491" s="859"/>
      <c r="E491" s="975"/>
      <c r="F491" s="859"/>
      <c r="G491" s="859"/>
      <c r="H491" s="859"/>
      <c r="I491" s="859"/>
      <c r="J491" s="859"/>
      <c r="K491" s="859"/>
      <c r="L491" s="859"/>
      <c r="M491" s="859"/>
      <c r="N491" s="859"/>
      <c r="O491" s="859"/>
      <c r="P491" s="859"/>
      <c r="Q491" s="859"/>
      <c r="R491" s="859"/>
      <c r="S491" s="859"/>
      <c r="T491" s="859"/>
      <c r="U491" s="859"/>
      <c r="V491" s="859"/>
      <c r="W491" s="859"/>
      <c r="X491" s="859"/>
      <c r="Y491" s="859"/>
      <c r="Z491" s="859"/>
      <c r="AA491" s="859"/>
      <c r="AB491" s="859"/>
      <c r="AC491" s="859"/>
      <c r="AD491" s="859"/>
      <c r="AE491" s="869"/>
      <c r="AF491" s="869"/>
      <c r="AG491" s="869"/>
      <c r="AH491" s="869"/>
      <c r="AI491" s="869"/>
      <c r="AJ491" s="869"/>
      <c r="AK491" s="869"/>
      <c r="AL491" s="869"/>
      <c r="AM491" s="869"/>
      <c r="AN491" s="869"/>
      <c r="AO491" s="869"/>
      <c r="AP491" s="869"/>
      <c r="AQ491" s="869"/>
      <c r="AR491" s="869"/>
      <c r="AS491" s="869"/>
      <c r="AT491" s="869"/>
      <c r="AU491" s="869"/>
      <c r="AV491" s="869"/>
      <c r="AW491" s="869"/>
      <c r="AX491" s="869"/>
    </row>
    <row r="492" spans="8:8" customHeight="1">
      <c r="A492" s="859"/>
      <c r="B492" s="859"/>
      <c r="C492" s="859"/>
      <c r="D492" s="859"/>
      <c r="E492" s="975"/>
      <c r="F492" s="859"/>
      <c r="G492" s="859"/>
      <c r="H492" s="859"/>
      <c r="I492" s="859"/>
      <c r="J492" s="859"/>
      <c r="K492" s="859"/>
      <c r="L492" s="859"/>
      <c r="M492" s="859"/>
      <c r="N492" s="859"/>
      <c r="O492" s="859"/>
      <c r="P492" s="859"/>
      <c r="Q492" s="859"/>
      <c r="R492" s="859"/>
      <c r="S492" s="859"/>
      <c r="T492" s="859"/>
      <c r="U492" s="859"/>
      <c r="V492" s="859"/>
      <c r="W492" s="859"/>
      <c r="X492" s="859"/>
      <c r="Y492" s="859"/>
      <c r="Z492" s="859"/>
      <c r="AA492" s="859"/>
      <c r="AB492" s="859"/>
      <c r="AC492" s="859"/>
      <c r="AD492" s="859"/>
      <c r="AE492" s="869"/>
      <c r="AF492" s="869"/>
      <c r="AG492" s="869"/>
      <c r="AH492" s="869"/>
      <c r="AI492" s="869"/>
      <c r="AJ492" s="869"/>
      <c r="AK492" s="869"/>
      <c r="AL492" s="869"/>
      <c r="AM492" s="869"/>
      <c r="AN492" s="869"/>
      <c r="AO492" s="869"/>
      <c r="AP492" s="869"/>
      <c r="AQ492" s="869"/>
      <c r="AR492" s="869"/>
      <c r="AS492" s="869"/>
      <c r="AT492" s="869"/>
      <c r="AU492" s="869"/>
      <c r="AV492" s="869"/>
      <c r="AW492" s="869"/>
      <c r="AX492" s="869"/>
    </row>
    <row r="493" spans="8:8" customHeight="1">
      <c r="A493" s="859"/>
      <c r="B493" s="859"/>
      <c r="C493" s="859"/>
      <c r="D493" s="859"/>
      <c r="E493" s="975"/>
      <c r="F493" s="859"/>
      <c r="G493" s="859"/>
      <c r="H493" s="859"/>
      <c r="I493" s="859"/>
      <c r="J493" s="859"/>
      <c r="K493" s="859"/>
      <c r="L493" s="859"/>
      <c r="M493" s="859"/>
      <c r="N493" s="859"/>
      <c r="O493" s="859"/>
      <c r="P493" s="859"/>
      <c r="Q493" s="859"/>
      <c r="R493" s="859"/>
      <c r="S493" s="859"/>
      <c r="T493" s="859"/>
      <c r="U493" s="859"/>
      <c r="V493" s="859"/>
      <c r="W493" s="859"/>
      <c r="X493" s="859"/>
      <c r="Y493" s="859"/>
      <c r="Z493" s="859"/>
      <c r="AA493" s="859"/>
      <c r="AB493" s="859"/>
      <c r="AC493" s="859"/>
      <c r="AD493" s="859"/>
      <c r="AE493" s="869"/>
      <c r="AF493" s="869"/>
      <c r="AG493" s="869"/>
      <c r="AH493" s="869"/>
      <c r="AI493" s="869"/>
      <c r="AJ493" s="869"/>
      <c r="AK493" s="869"/>
      <c r="AL493" s="869"/>
      <c r="AM493" s="869"/>
      <c r="AN493" s="869"/>
      <c r="AO493" s="869"/>
      <c r="AP493" s="869"/>
      <c r="AQ493" s="869"/>
      <c r="AR493" s="869"/>
      <c r="AS493" s="869"/>
      <c r="AT493" s="869"/>
      <c r="AU493" s="869"/>
      <c r="AV493" s="869"/>
      <c r="AW493" s="869"/>
      <c r="AX493" s="869"/>
    </row>
    <row r="494" spans="8:8" customHeight="1">
      <c r="A494" s="859"/>
      <c r="B494" s="859"/>
      <c r="C494" s="859"/>
      <c r="D494" s="859"/>
      <c r="E494" s="975"/>
      <c r="F494" s="859"/>
      <c r="G494" s="859"/>
      <c r="H494" s="859"/>
      <c r="I494" s="859"/>
      <c r="J494" s="859"/>
      <c r="K494" s="859"/>
      <c r="L494" s="859"/>
      <c r="M494" s="859"/>
      <c r="N494" s="859"/>
      <c r="O494" s="859"/>
      <c r="P494" s="859"/>
      <c r="Q494" s="859"/>
      <c r="R494" s="859"/>
      <c r="S494" s="859"/>
      <c r="T494" s="859"/>
      <c r="U494" s="859"/>
      <c r="V494" s="859"/>
      <c r="W494" s="859"/>
      <c r="X494" s="859"/>
      <c r="Y494" s="859"/>
      <c r="Z494" s="859"/>
      <c r="AA494" s="859"/>
      <c r="AB494" s="859"/>
      <c r="AC494" s="859"/>
      <c r="AD494" s="859"/>
      <c r="AE494" s="869"/>
      <c r="AF494" s="869"/>
      <c r="AG494" s="869"/>
      <c r="AH494" s="869"/>
      <c r="AI494" s="869"/>
      <c r="AJ494" s="869"/>
      <c r="AK494" s="869"/>
      <c r="AL494" s="869"/>
      <c r="AM494" s="869"/>
      <c r="AN494" s="869"/>
      <c r="AO494" s="869"/>
      <c r="AP494" s="869"/>
      <c r="AQ494" s="869"/>
      <c r="AR494" s="869"/>
      <c r="AS494" s="869"/>
      <c r="AT494" s="869"/>
      <c r="AU494" s="869"/>
      <c r="AV494" s="869"/>
      <c r="AW494" s="869"/>
      <c r="AX494" s="869"/>
    </row>
    <row r="495" spans="8:8" customHeight="1">
      <c r="A495" s="859"/>
      <c r="B495" s="859"/>
      <c r="C495" s="859"/>
      <c r="D495" s="859"/>
      <c r="E495" s="975"/>
      <c r="F495" s="859"/>
      <c r="G495" s="859"/>
      <c r="H495" s="859"/>
      <c r="I495" s="859"/>
      <c r="J495" s="859"/>
      <c r="K495" s="859"/>
      <c r="L495" s="859"/>
      <c r="M495" s="859"/>
      <c r="N495" s="859"/>
      <c r="O495" s="859"/>
      <c r="P495" s="859"/>
      <c r="Q495" s="859"/>
      <c r="R495" s="859"/>
      <c r="S495" s="859"/>
      <c r="T495" s="859"/>
      <c r="U495" s="859"/>
      <c r="V495" s="859"/>
      <c r="W495" s="859"/>
      <c r="X495" s="859"/>
      <c r="Y495" s="859"/>
      <c r="Z495" s="859"/>
      <c r="AA495" s="859"/>
      <c r="AB495" s="859"/>
      <c r="AC495" s="859"/>
      <c r="AD495" s="859"/>
      <c r="AE495" s="869"/>
      <c r="AF495" s="869"/>
      <c r="AG495" s="869"/>
      <c r="AH495" s="869"/>
      <c r="AI495" s="869"/>
      <c r="AJ495" s="869"/>
      <c r="AK495" s="869"/>
      <c r="AL495" s="869"/>
      <c r="AM495" s="869"/>
      <c r="AN495" s="869"/>
      <c r="AO495" s="869"/>
      <c r="AP495" s="869"/>
      <c r="AQ495" s="869"/>
      <c r="AR495" s="869"/>
      <c r="AS495" s="869"/>
      <c r="AT495" s="869"/>
      <c r="AU495" s="869"/>
      <c r="AV495" s="869"/>
      <c r="AW495" s="869"/>
      <c r="AX495" s="869"/>
    </row>
    <row r="496" spans="8:8" customHeight="1">
      <c r="A496" s="859"/>
      <c r="B496" s="859"/>
      <c r="C496" s="859"/>
      <c r="D496" s="859"/>
      <c r="E496" s="975"/>
      <c r="F496" s="859"/>
      <c r="G496" s="859"/>
      <c r="H496" s="859"/>
      <c r="I496" s="859"/>
      <c r="J496" s="859"/>
      <c r="K496" s="859"/>
      <c r="L496" s="859"/>
      <c r="M496" s="859"/>
      <c r="N496" s="859"/>
      <c r="O496" s="859"/>
      <c r="P496" s="859"/>
      <c r="Q496" s="859"/>
      <c r="R496" s="859"/>
      <c r="S496" s="859"/>
      <c r="T496" s="859"/>
      <c r="U496" s="859"/>
      <c r="V496" s="859"/>
      <c r="W496" s="859"/>
      <c r="X496" s="859"/>
      <c r="Y496" s="859"/>
      <c r="Z496" s="859"/>
      <c r="AA496" s="859"/>
      <c r="AB496" s="859"/>
      <c r="AC496" s="859"/>
      <c r="AD496" s="859"/>
      <c r="AE496" s="869"/>
      <c r="AF496" s="869"/>
      <c r="AG496" s="869"/>
      <c r="AH496" s="869"/>
      <c r="AI496" s="869"/>
      <c r="AJ496" s="869"/>
      <c r="AK496" s="869"/>
      <c r="AL496" s="869"/>
      <c r="AM496" s="869"/>
      <c r="AN496" s="869"/>
      <c r="AO496" s="869"/>
      <c r="AP496" s="869"/>
      <c r="AQ496" s="869"/>
      <c r="AR496" s="869"/>
      <c r="AS496" s="869"/>
      <c r="AT496" s="869"/>
      <c r="AU496" s="869"/>
      <c r="AV496" s="869"/>
      <c r="AW496" s="869"/>
      <c r="AX496" s="869"/>
    </row>
    <row r="497" spans="8:8" customHeight="1">
      <c r="A497" s="859"/>
      <c r="B497" s="859"/>
      <c r="C497" s="859"/>
      <c r="D497" s="859"/>
      <c r="E497" s="975"/>
      <c r="F497" s="859"/>
      <c r="G497" s="859"/>
      <c r="H497" s="859"/>
      <c r="I497" s="859"/>
      <c r="J497" s="859"/>
      <c r="K497" s="859"/>
      <c r="L497" s="859"/>
      <c r="M497" s="859"/>
      <c r="N497" s="859"/>
      <c r="O497" s="859"/>
      <c r="P497" s="859"/>
      <c r="Q497" s="859"/>
      <c r="R497" s="859"/>
      <c r="S497" s="859"/>
      <c r="T497" s="859"/>
      <c r="U497" s="859"/>
      <c r="V497" s="859"/>
      <c r="W497" s="859"/>
      <c r="X497" s="859"/>
      <c r="Y497" s="859"/>
      <c r="Z497" s="859"/>
      <c r="AA497" s="859"/>
      <c r="AB497" s="859"/>
      <c r="AC497" s="859"/>
      <c r="AD497" s="859"/>
      <c r="AE497" s="869"/>
      <c r="AF497" s="869"/>
      <c r="AG497" s="869"/>
      <c r="AH497" s="869"/>
      <c r="AI497" s="869"/>
      <c r="AJ497" s="869"/>
      <c r="AK497" s="869"/>
      <c r="AL497" s="869"/>
      <c r="AM497" s="869"/>
      <c r="AN497" s="869"/>
      <c r="AO497" s="869"/>
      <c r="AP497" s="869"/>
      <c r="AQ497" s="869"/>
      <c r="AR497" s="869"/>
      <c r="AS497" s="869"/>
      <c r="AT497" s="869"/>
      <c r="AU497" s="869"/>
      <c r="AV497" s="869"/>
      <c r="AW497" s="869"/>
      <c r="AX497" s="869"/>
    </row>
    <row r="498" spans="8:8" customHeight="1">
      <c r="A498" s="859"/>
      <c r="B498" s="859"/>
      <c r="C498" s="859"/>
      <c r="D498" s="859"/>
      <c r="E498" s="975"/>
      <c r="F498" s="859"/>
      <c r="G498" s="859"/>
      <c r="H498" s="859"/>
      <c r="I498" s="859"/>
      <c r="J498" s="859"/>
      <c r="K498" s="859"/>
      <c r="L498" s="859"/>
      <c r="M498" s="859"/>
      <c r="N498" s="859"/>
      <c r="O498" s="859"/>
      <c r="P498" s="859"/>
      <c r="Q498" s="859"/>
      <c r="R498" s="859"/>
      <c r="S498" s="859"/>
      <c r="T498" s="859"/>
      <c r="U498" s="859"/>
      <c r="V498" s="859"/>
      <c r="W498" s="859"/>
      <c r="X498" s="859"/>
      <c r="Y498" s="859"/>
      <c r="Z498" s="859"/>
      <c r="AA498" s="859"/>
      <c r="AB498" s="859"/>
      <c r="AC498" s="859"/>
      <c r="AD498" s="859"/>
      <c r="AE498" s="869"/>
      <c r="AF498" s="869"/>
      <c r="AG498" s="869"/>
      <c r="AH498" s="869"/>
      <c r="AI498" s="869"/>
      <c r="AJ498" s="869"/>
      <c r="AK498" s="869"/>
      <c r="AL498" s="869"/>
      <c r="AM498" s="869"/>
      <c r="AN498" s="869"/>
      <c r="AO498" s="869"/>
      <c r="AP498" s="869"/>
      <c r="AQ498" s="869"/>
      <c r="AR498" s="869"/>
      <c r="AS498" s="869"/>
      <c r="AT498" s="869"/>
      <c r="AU498" s="869"/>
      <c r="AV498" s="869"/>
      <c r="AW498" s="869"/>
      <c r="AX498" s="869"/>
    </row>
    <row r="499" spans="8:8" customHeight="1">
      <c r="A499" s="859"/>
      <c r="B499" s="859"/>
      <c r="C499" s="859"/>
      <c r="D499" s="859"/>
      <c r="E499" s="975"/>
      <c r="F499" s="859"/>
      <c r="G499" s="859"/>
      <c r="H499" s="859"/>
      <c r="I499" s="859"/>
      <c r="J499" s="859"/>
      <c r="K499" s="859"/>
      <c r="L499" s="859"/>
      <c r="M499" s="859"/>
      <c r="N499" s="859"/>
      <c r="O499" s="859"/>
      <c r="P499" s="859"/>
      <c r="Q499" s="859"/>
      <c r="R499" s="859"/>
      <c r="S499" s="859"/>
      <c r="T499" s="859"/>
      <c r="U499" s="859"/>
      <c r="V499" s="859"/>
      <c r="W499" s="859"/>
      <c r="X499" s="859"/>
      <c r="Y499" s="859"/>
      <c r="Z499" s="859"/>
      <c r="AA499" s="859"/>
      <c r="AB499" s="859"/>
      <c r="AC499" s="859"/>
      <c r="AD499" s="859"/>
      <c r="AE499" s="869"/>
      <c r="AF499" s="869"/>
      <c r="AG499" s="869"/>
      <c r="AH499" s="869"/>
      <c r="AI499" s="869"/>
      <c r="AJ499" s="869"/>
      <c r="AK499" s="869"/>
      <c r="AL499" s="869"/>
      <c r="AM499" s="869"/>
      <c r="AN499" s="869"/>
      <c r="AO499" s="869"/>
      <c r="AP499" s="869"/>
      <c r="AQ499" s="869"/>
      <c r="AR499" s="869"/>
      <c r="AS499" s="869"/>
      <c r="AT499" s="869"/>
      <c r="AU499" s="869"/>
      <c r="AV499" s="869"/>
      <c r="AW499" s="869"/>
      <c r="AX499" s="869"/>
    </row>
    <row r="500" spans="8:8" customHeight="1">
      <c r="A500" s="859"/>
      <c r="B500" s="859"/>
      <c r="C500" s="859"/>
      <c r="D500" s="859"/>
      <c r="E500" s="975"/>
      <c r="F500" s="859"/>
      <c r="G500" s="859"/>
      <c r="H500" s="859"/>
      <c r="I500" s="859"/>
      <c r="J500" s="859"/>
      <c r="K500" s="859"/>
      <c r="L500" s="859"/>
      <c r="M500" s="859"/>
      <c r="N500" s="859"/>
      <c r="O500" s="859"/>
      <c r="P500" s="859"/>
      <c r="Q500" s="859"/>
      <c r="R500" s="859"/>
      <c r="S500" s="859"/>
      <c r="T500" s="859"/>
      <c r="U500" s="859"/>
      <c r="V500" s="859"/>
      <c r="W500" s="859"/>
      <c r="X500" s="859"/>
      <c r="Y500" s="859"/>
      <c r="Z500" s="859"/>
      <c r="AA500" s="859"/>
      <c r="AB500" s="859"/>
      <c r="AC500" s="859"/>
      <c r="AD500" s="859"/>
      <c r="AE500" s="869"/>
      <c r="AF500" s="869"/>
      <c r="AG500" s="869"/>
      <c r="AH500" s="869"/>
      <c r="AI500" s="869"/>
      <c r="AJ500" s="869"/>
      <c r="AK500" s="869"/>
      <c r="AL500" s="869"/>
      <c r="AM500" s="869"/>
      <c r="AN500" s="869"/>
      <c r="AO500" s="869"/>
      <c r="AP500" s="869"/>
      <c r="AQ500" s="869"/>
      <c r="AR500" s="869"/>
      <c r="AS500" s="869"/>
      <c r="AT500" s="869"/>
      <c r="AU500" s="869"/>
      <c r="AV500" s="869"/>
      <c r="AW500" s="869"/>
      <c r="AX500" s="869"/>
    </row>
    <row r="501" spans="8:8" customHeight="1">
      <c r="A501" s="859"/>
      <c r="B501" s="859"/>
      <c r="C501" s="859"/>
      <c r="D501" s="859"/>
      <c r="E501" s="975"/>
      <c r="F501" s="859"/>
      <c r="G501" s="859"/>
      <c r="H501" s="859"/>
      <c r="I501" s="859"/>
      <c r="J501" s="859"/>
      <c r="K501" s="859"/>
      <c r="L501" s="859"/>
      <c r="M501" s="859"/>
      <c r="N501" s="859"/>
      <c r="O501" s="859"/>
      <c r="P501" s="859"/>
      <c r="Q501" s="859"/>
      <c r="R501" s="859"/>
      <c r="S501" s="859"/>
      <c r="T501" s="859"/>
      <c r="U501" s="859"/>
      <c r="V501" s="859"/>
      <c r="W501" s="859"/>
      <c r="X501" s="859"/>
      <c r="Y501" s="859"/>
      <c r="Z501" s="859"/>
      <c r="AA501" s="859"/>
      <c r="AB501" s="859"/>
      <c r="AC501" s="859"/>
      <c r="AD501" s="859"/>
      <c r="AE501" s="869"/>
      <c r="AF501" s="869"/>
      <c r="AG501" s="869"/>
      <c r="AH501" s="869"/>
      <c r="AI501" s="869"/>
      <c r="AJ501" s="869"/>
      <c r="AK501" s="869"/>
      <c r="AL501" s="869"/>
      <c r="AM501" s="869"/>
      <c r="AN501" s="869"/>
      <c r="AO501" s="869"/>
      <c r="AP501" s="869"/>
      <c r="AQ501" s="869"/>
      <c r="AR501" s="869"/>
      <c r="AS501" s="869"/>
      <c r="AT501" s="869"/>
      <c r="AU501" s="869"/>
      <c r="AV501" s="869"/>
      <c r="AW501" s="869"/>
      <c r="AX501" s="869"/>
    </row>
    <row r="502" spans="8:8" customHeight="1">
      <c r="A502" s="859"/>
      <c r="B502" s="859"/>
      <c r="C502" s="859"/>
      <c r="D502" s="859"/>
      <c r="E502" s="975"/>
      <c r="F502" s="859"/>
      <c r="G502" s="859"/>
      <c r="H502" s="859"/>
      <c r="I502" s="859"/>
      <c r="J502" s="859"/>
      <c r="K502" s="859"/>
      <c r="L502" s="859"/>
      <c r="M502" s="859"/>
      <c r="N502" s="859"/>
      <c r="O502" s="859"/>
      <c r="P502" s="859"/>
      <c r="Q502" s="859"/>
      <c r="R502" s="859"/>
      <c r="S502" s="859"/>
      <c r="T502" s="859"/>
      <c r="U502" s="859"/>
      <c r="V502" s="859"/>
      <c r="W502" s="859"/>
      <c r="X502" s="859"/>
      <c r="Y502" s="859"/>
      <c r="Z502" s="859"/>
      <c r="AA502" s="859"/>
      <c r="AB502" s="859"/>
      <c r="AC502" s="859"/>
      <c r="AD502" s="859"/>
      <c r="AE502" s="869"/>
      <c r="AF502" s="869"/>
      <c r="AG502" s="869"/>
      <c r="AH502" s="869"/>
      <c r="AI502" s="869"/>
      <c r="AJ502" s="869"/>
      <c r="AK502" s="869"/>
      <c r="AL502" s="869"/>
      <c r="AM502" s="869"/>
      <c r="AN502" s="869"/>
      <c r="AO502" s="869"/>
      <c r="AP502" s="869"/>
      <c r="AQ502" s="869"/>
      <c r="AR502" s="869"/>
      <c r="AS502" s="869"/>
      <c r="AT502" s="869"/>
      <c r="AU502" s="869"/>
      <c r="AV502" s="869"/>
      <c r="AW502" s="869"/>
      <c r="AX502" s="869"/>
    </row>
    <row r="503" spans="8:8" customHeight="1">
      <c r="A503" s="859"/>
      <c r="B503" s="859"/>
      <c r="C503" s="859"/>
      <c r="D503" s="859"/>
      <c r="E503" s="975"/>
      <c r="F503" s="859"/>
      <c r="G503" s="859"/>
      <c r="H503" s="859"/>
      <c r="I503" s="859"/>
      <c r="J503" s="859"/>
      <c r="K503" s="859"/>
      <c r="L503" s="859"/>
      <c r="M503" s="859"/>
      <c r="N503" s="859"/>
      <c r="O503" s="859"/>
      <c r="P503" s="859"/>
      <c r="Q503" s="859"/>
      <c r="R503" s="859"/>
      <c r="S503" s="859"/>
      <c r="T503" s="859"/>
      <c r="U503" s="859"/>
      <c r="V503" s="859"/>
      <c r="W503" s="859"/>
      <c r="X503" s="859"/>
      <c r="Y503" s="859"/>
      <c r="Z503" s="859"/>
      <c r="AA503" s="859"/>
      <c r="AB503" s="859"/>
      <c r="AC503" s="859"/>
      <c r="AD503" s="859"/>
      <c r="AE503" s="869"/>
      <c r="AF503" s="869"/>
      <c r="AG503" s="869"/>
      <c r="AH503" s="869"/>
      <c r="AI503" s="869"/>
      <c r="AJ503" s="869"/>
      <c r="AK503" s="869"/>
      <c r="AL503" s="869"/>
      <c r="AM503" s="869"/>
      <c r="AN503" s="869"/>
      <c r="AO503" s="869"/>
      <c r="AP503" s="869"/>
      <c r="AQ503" s="869"/>
      <c r="AR503" s="869"/>
      <c r="AS503" s="869"/>
      <c r="AT503" s="869"/>
      <c r="AU503" s="869"/>
      <c r="AV503" s="869"/>
      <c r="AW503" s="869"/>
      <c r="AX503" s="869"/>
    </row>
    <row r="504" spans="8:8" customHeight="1">
      <c r="A504" s="859"/>
      <c r="B504" s="859"/>
      <c r="C504" s="859"/>
      <c r="D504" s="859"/>
      <c r="E504" s="975"/>
      <c r="F504" s="859"/>
      <c r="G504" s="859"/>
      <c r="H504" s="859"/>
      <c r="I504" s="859"/>
      <c r="J504" s="859"/>
      <c r="K504" s="859"/>
      <c r="L504" s="859"/>
      <c r="M504" s="859"/>
      <c r="N504" s="859"/>
      <c r="O504" s="859"/>
      <c r="P504" s="859"/>
      <c r="Q504" s="859"/>
      <c r="R504" s="859"/>
      <c r="S504" s="859"/>
      <c r="T504" s="859"/>
      <c r="U504" s="859"/>
      <c r="V504" s="859"/>
      <c r="W504" s="859"/>
      <c r="X504" s="859"/>
      <c r="Y504" s="859"/>
      <c r="Z504" s="859"/>
      <c r="AA504" s="859"/>
      <c r="AB504" s="859"/>
      <c r="AC504" s="859"/>
      <c r="AD504" s="859"/>
      <c r="AE504" s="869"/>
      <c r="AF504" s="869"/>
      <c r="AG504" s="869"/>
      <c r="AH504" s="869"/>
      <c r="AI504" s="869"/>
      <c r="AJ504" s="869"/>
      <c r="AK504" s="869"/>
      <c r="AL504" s="869"/>
      <c r="AM504" s="869"/>
      <c r="AN504" s="869"/>
      <c r="AO504" s="869"/>
      <c r="AP504" s="869"/>
      <c r="AQ504" s="869"/>
      <c r="AR504" s="869"/>
      <c r="AS504" s="869"/>
      <c r="AT504" s="869"/>
      <c r="AU504" s="869"/>
      <c r="AV504" s="869"/>
      <c r="AW504" s="869"/>
      <c r="AX504" s="869"/>
    </row>
    <row r="505" spans="8:8" customHeight="1">
      <c r="A505" s="859"/>
      <c r="B505" s="859"/>
      <c r="C505" s="859"/>
      <c r="D505" s="859"/>
      <c r="E505" s="975"/>
      <c r="F505" s="859"/>
      <c r="G505" s="859"/>
      <c r="H505" s="859"/>
      <c r="I505" s="859"/>
      <c r="J505" s="859"/>
      <c r="K505" s="859"/>
      <c r="L505" s="859"/>
      <c r="M505" s="859"/>
      <c r="N505" s="859"/>
      <c r="O505" s="859"/>
      <c r="P505" s="859"/>
      <c r="Q505" s="859"/>
      <c r="R505" s="859"/>
      <c r="S505" s="859"/>
      <c r="T505" s="859"/>
      <c r="U505" s="859"/>
      <c r="V505" s="859"/>
      <c r="W505" s="859"/>
      <c r="X505" s="859"/>
      <c r="Y505" s="859"/>
      <c r="Z505" s="859"/>
      <c r="AA505" s="859"/>
      <c r="AB505" s="859"/>
      <c r="AC505" s="859"/>
      <c r="AD505" s="859"/>
      <c r="AE505" s="869"/>
      <c r="AF505" s="869"/>
      <c r="AG505" s="869"/>
      <c r="AH505" s="869"/>
      <c r="AI505" s="869"/>
      <c r="AJ505" s="869"/>
      <c r="AK505" s="869"/>
      <c r="AL505" s="869"/>
      <c r="AM505" s="869"/>
      <c r="AN505" s="869"/>
      <c r="AO505" s="869"/>
      <c r="AP505" s="869"/>
      <c r="AQ505" s="869"/>
      <c r="AR505" s="869"/>
      <c r="AS505" s="869"/>
      <c r="AT505" s="869"/>
      <c r="AU505" s="869"/>
      <c r="AV505" s="869"/>
      <c r="AW505" s="869"/>
      <c r="AX505" s="869"/>
    </row>
    <row r="506" spans="8:8" customHeight="1">
      <c r="A506" s="859"/>
      <c r="B506" s="859"/>
      <c r="C506" s="859"/>
      <c r="D506" s="859"/>
      <c r="E506" s="975"/>
      <c r="F506" s="859"/>
      <c r="G506" s="859"/>
      <c r="H506" s="859"/>
      <c r="I506" s="859"/>
      <c r="J506" s="859"/>
      <c r="K506" s="859"/>
      <c r="L506" s="859"/>
      <c r="M506" s="859"/>
      <c r="N506" s="859"/>
      <c r="O506" s="859"/>
      <c r="P506" s="859"/>
      <c r="Q506" s="859"/>
      <c r="R506" s="859"/>
      <c r="S506" s="859"/>
      <c r="T506" s="859"/>
      <c r="U506" s="859"/>
      <c r="V506" s="859"/>
      <c r="W506" s="859"/>
      <c r="X506" s="859"/>
      <c r="Y506" s="859"/>
      <c r="Z506" s="859"/>
      <c r="AA506" s="859"/>
      <c r="AB506" s="859"/>
      <c r="AC506" s="859"/>
      <c r="AD506" s="859"/>
      <c r="AE506" s="869"/>
      <c r="AF506" s="869"/>
      <c r="AG506" s="869"/>
      <c r="AH506" s="869"/>
      <c r="AI506" s="869"/>
      <c r="AJ506" s="869"/>
      <c r="AK506" s="869"/>
      <c r="AL506" s="869"/>
      <c r="AM506" s="869"/>
      <c r="AN506" s="869"/>
      <c r="AO506" s="869"/>
      <c r="AP506" s="869"/>
      <c r="AQ506" s="869"/>
      <c r="AR506" s="869"/>
      <c r="AS506" s="869"/>
      <c r="AT506" s="869"/>
      <c r="AU506" s="869"/>
      <c r="AV506" s="869"/>
      <c r="AW506" s="869"/>
      <c r="AX506" s="869"/>
    </row>
    <row r="507" spans="8:8" customHeight="1">
      <c r="A507" s="859"/>
      <c r="B507" s="859"/>
      <c r="C507" s="859"/>
      <c r="D507" s="859"/>
      <c r="E507" s="975"/>
      <c r="F507" s="859"/>
      <c r="G507" s="859"/>
      <c r="H507" s="859"/>
      <c r="I507" s="859"/>
      <c r="J507" s="859"/>
      <c r="K507" s="859"/>
      <c r="L507" s="859"/>
      <c r="M507" s="859"/>
      <c r="N507" s="859"/>
      <c r="O507" s="859"/>
      <c r="P507" s="859"/>
      <c r="Q507" s="859"/>
      <c r="R507" s="859"/>
      <c r="S507" s="859"/>
      <c r="T507" s="859"/>
      <c r="U507" s="859"/>
      <c r="V507" s="859"/>
      <c r="W507" s="859"/>
      <c r="X507" s="859"/>
      <c r="Y507" s="859"/>
      <c r="Z507" s="859"/>
      <c r="AA507" s="859"/>
      <c r="AB507" s="859"/>
      <c r="AC507" s="859"/>
      <c r="AD507" s="859"/>
      <c r="AE507" s="869"/>
      <c r="AF507" s="869"/>
      <c r="AG507" s="869"/>
      <c r="AH507" s="869"/>
      <c r="AI507" s="869"/>
      <c r="AJ507" s="869"/>
      <c r="AK507" s="869"/>
      <c r="AL507" s="869"/>
      <c r="AM507" s="869"/>
      <c r="AN507" s="869"/>
      <c r="AO507" s="869"/>
      <c r="AP507" s="869"/>
      <c r="AQ507" s="869"/>
      <c r="AR507" s="869"/>
      <c r="AS507" s="869"/>
      <c r="AT507" s="869"/>
      <c r="AU507" s="869"/>
      <c r="AV507" s="869"/>
      <c r="AW507" s="869"/>
      <c r="AX507" s="869"/>
    </row>
    <row r="508" spans="8:8" customHeight="1">
      <c r="A508" s="859"/>
      <c r="B508" s="859"/>
      <c r="C508" s="859"/>
      <c r="D508" s="859"/>
      <c r="E508" s="975"/>
      <c r="F508" s="859"/>
      <c r="G508" s="859"/>
      <c r="H508" s="859"/>
      <c r="I508" s="859"/>
      <c r="J508" s="859"/>
      <c r="K508" s="859"/>
      <c r="L508" s="859"/>
      <c r="M508" s="859"/>
      <c r="N508" s="859"/>
      <c r="O508" s="859"/>
      <c r="P508" s="859"/>
      <c r="Q508" s="859"/>
      <c r="R508" s="859"/>
      <c r="S508" s="859"/>
      <c r="T508" s="859"/>
      <c r="U508" s="859"/>
      <c r="V508" s="859"/>
      <c r="W508" s="859"/>
      <c r="X508" s="859"/>
      <c r="Y508" s="859"/>
      <c r="Z508" s="859"/>
      <c r="AA508" s="859"/>
      <c r="AB508" s="859"/>
      <c r="AC508" s="859"/>
      <c r="AD508" s="859"/>
      <c r="AE508" s="869"/>
      <c r="AF508" s="869"/>
      <c r="AG508" s="869"/>
      <c r="AH508" s="869"/>
      <c r="AI508" s="869"/>
      <c r="AJ508" s="869"/>
      <c r="AK508" s="869"/>
      <c r="AL508" s="869"/>
      <c r="AM508" s="869"/>
      <c r="AN508" s="869"/>
      <c r="AO508" s="869"/>
      <c r="AP508" s="869"/>
      <c r="AQ508" s="869"/>
      <c r="AR508" s="869"/>
      <c r="AS508" s="869"/>
      <c r="AT508" s="869"/>
      <c r="AU508" s="869"/>
      <c r="AV508" s="869"/>
      <c r="AW508" s="869"/>
      <c r="AX508" s="869"/>
    </row>
    <row r="509" spans="8:8" customHeight="1">
      <c r="A509" s="859"/>
      <c r="B509" s="859"/>
      <c r="C509" s="859"/>
      <c r="D509" s="859"/>
      <c r="E509" s="975"/>
      <c r="F509" s="859"/>
      <c r="G509" s="859"/>
      <c r="H509" s="859"/>
      <c r="I509" s="859"/>
      <c r="J509" s="859"/>
      <c r="K509" s="859"/>
      <c r="L509" s="859"/>
      <c r="M509" s="859"/>
      <c r="N509" s="859"/>
      <c r="O509" s="859"/>
      <c r="P509" s="859"/>
      <c r="Q509" s="859"/>
      <c r="R509" s="859"/>
      <c r="S509" s="859"/>
      <c r="T509" s="859"/>
      <c r="U509" s="859"/>
      <c r="V509" s="859"/>
      <c r="W509" s="859"/>
      <c r="X509" s="859"/>
      <c r="Y509" s="859"/>
      <c r="Z509" s="859"/>
      <c r="AA509" s="859"/>
      <c r="AB509" s="859"/>
      <c r="AC509" s="859"/>
      <c r="AD509" s="859"/>
      <c r="AE509" s="869"/>
      <c r="AF509" s="869"/>
      <c r="AG509" s="869"/>
      <c r="AH509" s="869"/>
      <c r="AI509" s="869"/>
      <c r="AJ509" s="869"/>
      <c r="AK509" s="869"/>
      <c r="AL509" s="869"/>
      <c r="AM509" s="869"/>
      <c r="AN509" s="869"/>
      <c r="AO509" s="869"/>
      <c r="AP509" s="869"/>
      <c r="AQ509" s="869"/>
      <c r="AR509" s="869"/>
      <c r="AS509" s="869"/>
      <c r="AT509" s="869"/>
      <c r="AU509" s="869"/>
      <c r="AV509" s="869"/>
      <c r="AW509" s="869"/>
      <c r="AX509" s="869"/>
    </row>
    <row r="510" spans="8:8" customHeight="1">
      <c r="A510" s="859"/>
      <c r="B510" s="859"/>
      <c r="C510" s="859"/>
      <c r="D510" s="859"/>
      <c r="E510" s="975"/>
      <c r="F510" s="859"/>
      <c r="G510" s="859"/>
      <c r="H510" s="859"/>
      <c r="I510" s="859"/>
      <c r="J510" s="859"/>
      <c r="K510" s="859"/>
      <c r="L510" s="859"/>
      <c r="M510" s="859"/>
      <c r="N510" s="859"/>
      <c r="O510" s="859"/>
      <c r="P510" s="859"/>
      <c r="Q510" s="859"/>
      <c r="R510" s="859"/>
      <c r="S510" s="859"/>
      <c r="T510" s="859"/>
      <c r="U510" s="859"/>
      <c r="V510" s="859"/>
      <c r="W510" s="859"/>
      <c r="X510" s="859"/>
      <c r="Y510" s="859"/>
      <c r="Z510" s="859"/>
      <c r="AA510" s="859"/>
      <c r="AB510" s="859"/>
      <c r="AC510" s="859"/>
      <c r="AD510" s="859"/>
      <c r="AE510" s="869"/>
      <c r="AF510" s="869"/>
      <c r="AG510" s="869"/>
      <c r="AH510" s="869"/>
      <c r="AI510" s="869"/>
      <c r="AJ510" s="869"/>
      <c r="AK510" s="869"/>
      <c r="AL510" s="869"/>
      <c r="AM510" s="869"/>
      <c r="AN510" s="869"/>
      <c r="AO510" s="869"/>
      <c r="AP510" s="869"/>
      <c r="AQ510" s="869"/>
      <c r="AR510" s="869"/>
      <c r="AS510" s="869"/>
      <c r="AT510" s="869"/>
      <c r="AU510" s="869"/>
      <c r="AV510" s="869"/>
      <c r="AW510" s="869"/>
      <c r="AX510" s="869"/>
    </row>
    <row r="511" spans="8:8" customHeight="1">
      <c r="A511" s="859"/>
      <c r="B511" s="859"/>
      <c r="C511" s="859"/>
      <c r="D511" s="859"/>
      <c r="E511" s="975"/>
      <c r="F511" s="859"/>
      <c r="G511" s="859"/>
      <c r="H511" s="859"/>
      <c r="I511" s="859"/>
      <c r="J511" s="859"/>
      <c r="K511" s="859"/>
      <c r="L511" s="859"/>
      <c r="M511" s="859"/>
      <c r="N511" s="859"/>
      <c r="O511" s="859"/>
      <c r="P511" s="859"/>
      <c r="Q511" s="859"/>
      <c r="R511" s="859"/>
      <c r="S511" s="859"/>
      <c r="T511" s="859"/>
      <c r="U511" s="859"/>
      <c r="V511" s="859"/>
      <c r="W511" s="859"/>
      <c r="X511" s="859"/>
      <c r="Y511" s="859"/>
      <c r="Z511" s="859"/>
      <c r="AA511" s="859"/>
      <c r="AB511" s="859"/>
      <c r="AC511" s="859"/>
      <c r="AD511" s="859"/>
      <c r="AE511" s="869"/>
      <c r="AF511" s="869"/>
      <c r="AG511" s="869"/>
      <c r="AH511" s="869"/>
      <c r="AI511" s="869"/>
      <c r="AJ511" s="869"/>
      <c r="AK511" s="869"/>
      <c r="AL511" s="869"/>
      <c r="AM511" s="869"/>
      <c r="AN511" s="869"/>
      <c r="AO511" s="869"/>
      <c r="AP511" s="869"/>
      <c r="AQ511" s="869"/>
      <c r="AR511" s="869"/>
      <c r="AS511" s="869"/>
      <c r="AT511" s="869"/>
      <c r="AU511" s="869"/>
      <c r="AV511" s="869"/>
      <c r="AW511" s="869"/>
      <c r="AX511" s="869"/>
    </row>
    <row r="512" spans="8:8" customHeight="1">
      <c r="A512" s="859"/>
      <c r="B512" s="859"/>
      <c r="C512" s="859"/>
      <c r="D512" s="859"/>
      <c r="E512" s="975"/>
      <c r="F512" s="859"/>
      <c r="G512" s="859"/>
      <c r="H512" s="859"/>
      <c r="I512" s="859"/>
      <c r="J512" s="859"/>
      <c r="K512" s="859"/>
      <c r="L512" s="859"/>
      <c r="M512" s="859"/>
      <c r="N512" s="859"/>
      <c r="O512" s="859"/>
      <c r="P512" s="859"/>
      <c r="Q512" s="859"/>
      <c r="R512" s="859"/>
      <c r="S512" s="859"/>
      <c r="T512" s="859"/>
      <c r="U512" s="859"/>
      <c r="V512" s="859"/>
      <c r="W512" s="859"/>
      <c r="X512" s="859"/>
      <c r="Y512" s="859"/>
      <c r="Z512" s="859"/>
      <c r="AA512" s="859"/>
      <c r="AB512" s="859"/>
      <c r="AC512" s="859"/>
      <c r="AD512" s="859"/>
      <c r="AE512" s="869"/>
      <c r="AF512" s="869"/>
      <c r="AG512" s="869"/>
      <c r="AH512" s="869"/>
      <c r="AI512" s="869"/>
      <c r="AJ512" s="869"/>
      <c r="AK512" s="869"/>
      <c r="AL512" s="869"/>
      <c r="AM512" s="869"/>
      <c r="AN512" s="869"/>
      <c r="AO512" s="869"/>
      <c r="AP512" s="869"/>
      <c r="AQ512" s="869"/>
      <c r="AR512" s="869"/>
      <c r="AS512" s="869"/>
      <c r="AT512" s="869"/>
      <c r="AU512" s="869"/>
      <c r="AV512" s="869"/>
      <c r="AW512" s="869"/>
      <c r="AX512" s="869"/>
    </row>
    <row r="513" spans="8:8" customHeight="1">
      <c r="A513" s="859"/>
      <c r="B513" s="859"/>
      <c r="C513" s="859"/>
      <c r="D513" s="859"/>
      <c r="E513" s="975"/>
      <c r="F513" s="859"/>
      <c r="G513" s="859"/>
      <c r="H513" s="859"/>
      <c r="I513" s="859"/>
      <c r="J513" s="859"/>
      <c r="K513" s="859"/>
      <c r="L513" s="859"/>
      <c r="M513" s="859"/>
      <c r="N513" s="859"/>
      <c r="O513" s="859"/>
      <c r="P513" s="859"/>
      <c r="Q513" s="859"/>
      <c r="R513" s="859"/>
      <c r="S513" s="859"/>
      <c r="T513" s="859"/>
      <c r="U513" s="859"/>
      <c r="V513" s="859"/>
      <c r="W513" s="859"/>
      <c r="X513" s="859"/>
      <c r="Y513" s="859"/>
      <c r="Z513" s="859"/>
      <c r="AA513" s="859"/>
      <c r="AB513" s="859"/>
      <c r="AC513" s="859"/>
      <c r="AD513" s="859"/>
      <c r="AE513" s="869"/>
      <c r="AF513" s="869"/>
      <c r="AG513" s="869"/>
      <c r="AH513" s="869"/>
      <c r="AI513" s="869"/>
      <c r="AJ513" s="869"/>
      <c r="AK513" s="869"/>
      <c r="AL513" s="869"/>
      <c r="AM513" s="869"/>
      <c r="AN513" s="869"/>
      <c r="AO513" s="869"/>
      <c r="AP513" s="869"/>
      <c r="AQ513" s="869"/>
      <c r="AR513" s="869"/>
      <c r="AS513" s="869"/>
      <c r="AT513" s="869"/>
      <c r="AU513" s="869"/>
      <c r="AV513" s="869"/>
      <c r="AW513" s="869"/>
      <c r="AX513" s="869"/>
    </row>
    <row r="514" spans="8:8" customHeight="1">
      <c r="A514" s="859"/>
      <c r="B514" s="859"/>
      <c r="C514" s="859"/>
      <c r="D514" s="859"/>
      <c r="E514" s="975"/>
      <c r="F514" s="859"/>
      <c r="G514" s="859"/>
      <c r="H514" s="859"/>
      <c r="I514" s="859"/>
      <c r="J514" s="859"/>
      <c r="K514" s="859"/>
      <c r="L514" s="859"/>
      <c r="M514" s="859"/>
      <c r="N514" s="859"/>
      <c r="O514" s="859"/>
      <c r="P514" s="859"/>
      <c r="Q514" s="859"/>
      <c r="R514" s="859"/>
      <c r="S514" s="859"/>
      <c r="T514" s="859"/>
      <c r="U514" s="859"/>
      <c r="V514" s="859"/>
      <c r="W514" s="859"/>
      <c r="X514" s="859"/>
      <c r="Y514" s="859"/>
      <c r="Z514" s="859"/>
      <c r="AA514" s="859"/>
      <c r="AB514" s="859"/>
      <c r="AC514" s="859"/>
      <c r="AD514" s="859"/>
      <c r="AE514" s="869"/>
      <c r="AF514" s="869"/>
      <c r="AG514" s="869"/>
      <c r="AH514" s="869"/>
      <c r="AI514" s="869"/>
      <c r="AJ514" s="869"/>
      <c r="AK514" s="869"/>
      <c r="AL514" s="869"/>
      <c r="AM514" s="869"/>
      <c r="AN514" s="869"/>
      <c r="AO514" s="869"/>
      <c r="AP514" s="869"/>
      <c r="AQ514" s="869"/>
      <c r="AR514" s="869"/>
      <c r="AS514" s="869"/>
      <c r="AT514" s="869"/>
      <c r="AU514" s="869"/>
      <c r="AV514" s="869"/>
      <c r="AW514" s="869"/>
      <c r="AX514" s="869"/>
    </row>
    <row r="515" spans="8:8" customHeight="1">
      <c r="A515" s="859"/>
      <c r="B515" s="859"/>
      <c r="C515" s="859"/>
      <c r="D515" s="859"/>
      <c r="E515" s="975"/>
      <c r="F515" s="859"/>
      <c r="G515" s="859"/>
      <c r="H515" s="859"/>
      <c r="I515" s="859"/>
      <c r="J515" s="859"/>
      <c r="K515" s="859"/>
      <c r="L515" s="859"/>
      <c r="M515" s="859"/>
      <c r="N515" s="859"/>
      <c r="O515" s="859"/>
      <c r="P515" s="859"/>
      <c r="Q515" s="859"/>
      <c r="R515" s="859"/>
      <c r="S515" s="859"/>
      <c r="T515" s="859"/>
      <c r="U515" s="859"/>
      <c r="V515" s="859"/>
      <c r="W515" s="859"/>
      <c r="X515" s="859"/>
      <c r="Y515" s="859"/>
      <c r="Z515" s="859"/>
      <c r="AA515" s="859"/>
      <c r="AB515" s="859"/>
      <c r="AC515" s="859"/>
      <c r="AD515" s="859"/>
      <c r="AE515" s="869"/>
      <c r="AF515" s="869"/>
      <c r="AG515" s="869"/>
      <c r="AH515" s="869"/>
      <c r="AI515" s="869"/>
      <c r="AJ515" s="869"/>
      <c r="AK515" s="869"/>
      <c r="AL515" s="869"/>
      <c r="AM515" s="869"/>
      <c r="AN515" s="869"/>
      <c r="AO515" s="869"/>
      <c r="AP515" s="869"/>
      <c r="AQ515" s="869"/>
      <c r="AR515" s="869"/>
      <c r="AS515" s="869"/>
      <c r="AT515" s="869"/>
      <c r="AU515" s="869"/>
      <c r="AV515" s="869"/>
      <c r="AW515" s="869"/>
      <c r="AX515" s="869"/>
    </row>
    <row r="516" spans="8:8" customHeight="1">
      <c r="A516" s="859"/>
      <c r="B516" s="859"/>
      <c r="C516" s="859"/>
      <c r="D516" s="859"/>
      <c r="E516" s="975"/>
      <c r="F516" s="859"/>
      <c r="G516" s="859"/>
      <c r="H516" s="859"/>
      <c r="I516" s="859"/>
      <c r="J516" s="859"/>
      <c r="K516" s="859"/>
      <c r="L516" s="859"/>
      <c r="M516" s="859"/>
      <c r="N516" s="859"/>
      <c r="O516" s="859"/>
      <c r="P516" s="859"/>
      <c r="Q516" s="859"/>
      <c r="R516" s="859"/>
      <c r="S516" s="859"/>
      <c r="T516" s="859"/>
      <c r="U516" s="859"/>
      <c r="V516" s="859"/>
      <c r="W516" s="859"/>
      <c r="X516" s="859"/>
      <c r="Y516" s="859"/>
      <c r="Z516" s="859"/>
      <c r="AA516" s="859"/>
      <c r="AB516" s="859"/>
      <c r="AC516" s="859"/>
      <c r="AD516" s="859"/>
      <c r="AE516" s="869"/>
      <c r="AF516" s="869"/>
      <c r="AG516" s="869"/>
      <c r="AH516" s="869"/>
      <c r="AI516" s="869"/>
      <c r="AJ516" s="869"/>
      <c r="AK516" s="869"/>
      <c r="AL516" s="869"/>
      <c r="AM516" s="869"/>
      <c r="AN516" s="869"/>
      <c r="AO516" s="869"/>
      <c r="AP516" s="869"/>
      <c r="AQ516" s="869"/>
      <c r="AR516" s="869"/>
      <c r="AS516" s="869"/>
      <c r="AT516" s="869"/>
      <c r="AU516" s="869"/>
      <c r="AV516" s="869"/>
      <c r="AW516" s="869"/>
      <c r="AX516" s="869"/>
    </row>
    <row r="517" spans="8:8" customHeight="1">
      <c r="A517" s="859"/>
      <c r="B517" s="859"/>
      <c r="C517" s="859"/>
      <c r="D517" s="859"/>
      <c r="E517" s="975"/>
      <c r="F517" s="859"/>
      <c r="G517" s="859"/>
      <c r="H517" s="859"/>
      <c r="I517" s="859"/>
      <c r="J517" s="859"/>
      <c r="K517" s="859"/>
      <c r="L517" s="859"/>
      <c r="M517" s="859"/>
      <c r="N517" s="859"/>
      <c r="O517" s="859"/>
      <c r="P517" s="859"/>
      <c r="Q517" s="859"/>
      <c r="R517" s="859"/>
      <c r="S517" s="859"/>
      <c r="T517" s="859"/>
      <c r="U517" s="859"/>
      <c r="V517" s="859"/>
      <c r="W517" s="859"/>
      <c r="X517" s="859"/>
      <c r="Y517" s="859"/>
      <c r="Z517" s="859"/>
      <c r="AA517" s="859"/>
      <c r="AB517" s="859"/>
      <c r="AC517" s="859"/>
      <c r="AD517" s="859"/>
      <c r="AE517" s="869"/>
      <c r="AF517" s="869"/>
      <c r="AG517" s="869"/>
      <c r="AH517" s="869"/>
      <c r="AI517" s="869"/>
      <c r="AJ517" s="869"/>
      <c r="AK517" s="869"/>
      <c r="AL517" s="869"/>
      <c r="AM517" s="869"/>
      <c r="AN517" s="869"/>
      <c r="AO517" s="869"/>
      <c r="AP517" s="869"/>
      <c r="AQ517" s="869"/>
      <c r="AR517" s="869"/>
      <c r="AS517" s="869"/>
      <c r="AT517" s="869"/>
      <c r="AU517" s="869"/>
      <c r="AV517" s="869"/>
      <c r="AW517" s="869"/>
      <c r="AX517" s="869"/>
    </row>
    <row r="518" spans="8:8" customHeight="1">
      <c r="A518" s="859"/>
      <c r="B518" s="859"/>
      <c r="C518" s="859"/>
      <c r="D518" s="859"/>
      <c r="E518" s="975"/>
      <c r="F518" s="859"/>
      <c r="G518" s="859"/>
      <c r="H518" s="859"/>
      <c r="I518" s="859"/>
      <c r="J518" s="859"/>
      <c r="K518" s="859"/>
      <c r="L518" s="859"/>
      <c r="M518" s="859"/>
      <c r="N518" s="859"/>
      <c r="O518" s="859"/>
      <c r="P518" s="859"/>
      <c r="Q518" s="859"/>
      <c r="R518" s="859"/>
      <c r="S518" s="859"/>
      <c r="T518" s="859"/>
      <c r="U518" s="859"/>
      <c r="V518" s="859"/>
      <c r="W518" s="859"/>
      <c r="X518" s="859"/>
      <c r="Y518" s="859"/>
      <c r="Z518" s="859"/>
      <c r="AA518" s="859"/>
      <c r="AB518" s="859"/>
      <c r="AC518" s="859"/>
      <c r="AD518" s="859"/>
      <c r="AE518" s="869"/>
      <c r="AF518" s="869"/>
      <c r="AG518" s="869"/>
      <c r="AH518" s="869"/>
      <c r="AI518" s="869"/>
      <c r="AJ518" s="869"/>
      <c r="AK518" s="869"/>
      <c r="AL518" s="869"/>
      <c r="AM518" s="869"/>
      <c r="AN518" s="869"/>
      <c r="AO518" s="869"/>
      <c r="AP518" s="869"/>
      <c r="AQ518" s="869"/>
      <c r="AR518" s="869"/>
      <c r="AS518" s="869"/>
      <c r="AT518" s="869"/>
      <c r="AU518" s="869"/>
      <c r="AV518" s="869"/>
      <c r="AW518" s="869"/>
      <c r="AX518" s="869"/>
    </row>
    <row r="519" spans="8:8" customHeight="1">
      <c r="A519" s="859"/>
      <c r="B519" s="859"/>
      <c r="C519" s="859"/>
      <c r="D519" s="859"/>
      <c r="E519" s="975"/>
      <c r="F519" s="859"/>
      <c r="G519" s="859"/>
      <c r="H519" s="859"/>
      <c r="I519" s="859"/>
      <c r="J519" s="859"/>
      <c r="K519" s="859"/>
      <c r="L519" s="859"/>
      <c r="M519" s="859"/>
      <c r="N519" s="859"/>
      <c r="O519" s="859"/>
      <c r="P519" s="859"/>
      <c r="Q519" s="859"/>
      <c r="R519" s="859"/>
      <c r="S519" s="859"/>
      <c r="T519" s="859"/>
      <c r="U519" s="859"/>
      <c r="V519" s="859"/>
      <c r="W519" s="859"/>
      <c r="X519" s="859"/>
      <c r="Y519" s="859"/>
      <c r="Z519" s="859"/>
      <c r="AA519" s="859"/>
      <c r="AB519" s="859"/>
      <c r="AC519" s="859"/>
      <c r="AD519" s="859"/>
      <c r="AE519" s="869"/>
      <c r="AF519" s="869"/>
      <c r="AG519" s="869"/>
      <c r="AH519" s="869"/>
      <c r="AI519" s="869"/>
      <c r="AJ519" s="869"/>
      <c r="AK519" s="869"/>
      <c r="AL519" s="869"/>
      <c r="AM519" s="869"/>
      <c r="AN519" s="869"/>
      <c r="AO519" s="869"/>
      <c r="AP519" s="869"/>
      <c r="AQ519" s="869"/>
      <c r="AR519" s="869"/>
      <c r="AS519" s="869"/>
      <c r="AT519" s="869"/>
      <c r="AU519" s="869"/>
      <c r="AV519" s="869"/>
      <c r="AW519" s="869"/>
      <c r="AX519" s="869"/>
    </row>
    <row r="520" spans="8:8" customHeight="1">
      <c r="A520" s="859"/>
      <c r="B520" s="859"/>
      <c r="C520" s="859"/>
      <c r="D520" s="859"/>
      <c r="E520" s="975"/>
      <c r="F520" s="859"/>
      <c r="G520" s="859"/>
      <c r="H520" s="859"/>
      <c r="I520" s="859"/>
      <c r="J520" s="859"/>
      <c r="K520" s="859"/>
      <c r="L520" s="859"/>
      <c r="M520" s="859"/>
      <c r="N520" s="859"/>
      <c r="O520" s="859"/>
      <c r="P520" s="859"/>
      <c r="Q520" s="859"/>
      <c r="R520" s="859"/>
      <c r="S520" s="859"/>
      <c r="T520" s="859"/>
      <c r="U520" s="859"/>
      <c r="V520" s="859"/>
      <c r="W520" s="859"/>
      <c r="X520" s="859"/>
      <c r="Y520" s="859"/>
      <c r="Z520" s="859"/>
      <c r="AA520" s="859"/>
      <c r="AB520" s="859"/>
      <c r="AC520" s="859"/>
      <c r="AD520" s="859"/>
      <c r="AE520" s="869"/>
      <c r="AF520" s="869"/>
      <c r="AG520" s="869"/>
      <c r="AH520" s="869"/>
      <c r="AI520" s="869"/>
      <c r="AJ520" s="869"/>
      <c r="AK520" s="869"/>
      <c r="AL520" s="869"/>
      <c r="AM520" s="869"/>
      <c r="AN520" s="869"/>
      <c r="AO520" s="869"/>
      <c r="AP520" s="869"/>
      <c r="AQ520" s="869"/>
      <c r="AR520" s="869"/>
      <c r="AS520" s="869"/>
      <c r="AT520" s="869"/>
      <c r="AU520" s="869"/>
      <c r="AV520" s="869"/>
      <c r="AW520" s="869"/>
      <c r="AX520" s="869"/>
    </row>
    <row r="521" spans="8:8" customHeight="1">
      <c r="A521" s="859"/>
      <c r="B521" s="859"/>
      <c r="C521" s="859"/>
      <c r="D521" s="859"/>
      <c r="E521" s="975"/>
      <c r="F521" s="859"/>
      <c r="G521" s="859"/>
      <c r="H521" s="859"/>
      <c r="I521" s="859"/>
      <c r="J521" s="859"/>
      <c r="K521" s="859"/>
      <c r="L521" s="859"/>
      <c r="M521" s="859"/>
      <c r="N521" s="859"/>
      <c r="O521" s="859"/>
      <c r="P521" s="859"/>
      <c r="Q521" s="859"/>
      <c r="R521" s="859"/>
      <c r="S521" s="859"/>
      <c r="T521" s="859"/>
      <c r="U521" s="859"/>
      <c r="V521" s="859"/>
      <c r="W521" s="859"/>
      <c r="X521" s="859"/>
      <c r="Y521" s="859"/>
      <c r="Z521" s="859"/>
      <c r="AA521" s="859"/>
      <c r="AB521" s="859"/>
      <c r="AC521" s="859"/>
      <c r="AD521" s="859"/>
      <c r="AE521" s="869"/>
      <c r="AF521" s="869"/>
      <c r="AG521" s="869"/>
      <c r="AH521" s="869"/>
      <c r="AI521" s="869"/>
      <c r="AJ521" s="869"/>
      <c r="AK521" s="869"/>
      <c r="AL521" s="869"/>
      <c r="AM521" s="869"/>
      <c r="AN521" s="869"/>
      <c r="AO521" s="869"/>
      <c r="AP521" s="869"/>
      <c r="AQ521" s="869"/>
      <c r="AR521" s="869"/>
      <c r="AS521" s="869"/>
      <c r="AT521" s="869"/>
      <c r="AU521" s="869"/>
      <c r="AV521" s="869"/>
      <c r="AW521" s="869"/>
      <c r="AX521" s="869"/>
    </row>
    <row r="522" spans="8:8" customHeight="1">
      <c r="A522" s="859"/>
      <c r="B522" s="859"/>
      <c r="C522" s="859"/>
      <c r="D522" s="859"/>
      <c r="E522" s="975"/>
      <c r="F522" s="859"/>
      <c r="G522" s="859"/>
      <c r="H522" s="859"/>
      <c r="I522" s="859"/>
      <c r="J522" s="859"/>
      <c r="K522" s="859"/>
      <c r="L522" s="859"/>
      <c r="M522" s="859"/>
      <c r="N522" s="859"/>
      <c r="O522" s="859"/>
      <c r="P522" s="859"/>
      <c r="Q522" s="859"/>
      <c r="R522" s="859"/>
      <c r="S522" s="859"/>
      <c r="T522" s="859"/>
      <c r="U522" s="859"/>
      <c r="V522" s="859"/>
      <c r="W522" s="859"/>
      <c r="X522" s="859"/>
      <c r="Y522" s="859"/>
      <c r="Z522" s="859"/>
      <c r="AA522" s="859"/>
      <c r="AB522" s="859"/>
      <c r="AC522" s="859"/>
      <c r="AD522" s="859"/>
      <c r="AE522" s="869"/>
      <c r="AF522" s="869"/>
      <c r="AG522" s="869"/>
      <c r="AH522" s="869"/>
      <c r="AI522" s="869"/>
      <c r="AJ522" s="869"/>
      <c r="AK522" s="869"/>
      <c r="AL522" s="869"/>
      <c r="AM522" s="869"/>
      <c r="AN522" s="869"/>
      <c r="AO522" s="869"/>
      <c r="AP522" s="869"/>
      <c r="AQ522" s="869"/>
      <c r="AR522" s="869"/>
      <c r="AS522" s="869"/>
      <c r="AT522" s="869"/>
      <c r="AU522" s="869"/>
      <c r="AV522" s="869"/>
      <c r="AW522" s="869"/>
      <c r="AX522" s="869"/>
    </row>
    <row r="523" spans="8:8" customHeight="1">
      <c r="A523" s="859"/>
      <c r="B523" s="859"/>
      <c r="C523" s="859"/>
      <c r="D523" s="859"/>
      <c r="E523" s="975"/>
      <c r="F523" s="859"/>
      <c r="G523" s="859"/>
      <c r="H523" s="859"/>
      <c r="I523" s="859"/>
      <c r="J523" s="859"/>
      <c r="K523" s="859"/>
      <c r="L523" s="859"/>
      <c r="M523" s="859"/>
      <c r="N523" s="859"/>
      <c r="O523" s="859"/>
      <c r="P523" s="859"/>
      <c r="Q523" s="859"/>
      <c r="R523" s="859"/>
      <c r="S523" s="859"/>
      <c r="T523" s="859"/>
      <c r="U523" s="859"/>
      <c r="V523" s="859"/>
      <c r="W523" s="859"/>
      <c r="X523" s="859"/>
      <c r="Y523" s="859"/>
      <c r="Z523" s="859"/>
      <c r="AA523" s="859"/>
      <c r="AB523" s="859"/>
      <c r="AC523" s="859"/>
      <c r="AD523" s="859"/>
      <c r="AE523" s="869"/>
      <c r="AF523" s="869"/>
      <c r="AG523" s="869"/>
      <c r="AH523" s="869"/>
      <c r="AI523" s="869"/>
      <c r="AJ523" s="869"/>
      <c r="AK523" s="869"/>
      <c r="AL523" s="869"/>
      <c r="AM523" s="869"/>
      <c r="AN523" s="869"/>
      <c r="AO523" s="869"/>
      <c r="AP523" s="869"/>
      <c r="AQ523" s="869"/>
      <c r="AR523" s="869"/>
      <c r="AS523" s="869"/>
      <c r="AT523" s="869"/>
      <c r="AU523" s="869"/>
      <c r="AV523" s="869"/>
      <c r="AW523" s="869"/>
      <c r="AX523" s="869"/>
    </row>
    <row r="524" spans="8:8" customHeight="1">
      <c r="A524" s="859"/>
      <c r="B524" s="859"/>
      <c r="C524" s="859"/>
      <c r="D524" s="859"/>
      <c r="E524" s="975"/>
      <c r="F524" s="859"/>
      <c r="G524" s="859"/>
      <c r="H524" s="859"/>
      <c r="I524" s="859"/>
      <c r="J524" s="859"/>
      <c r="K524" s="859"/>
      <c r="L524" s="859"/>
      <c r="M524" s="859"/>
      <c r="N524" s="859"/>
      <c r="O524" s="859"/>
      <c r="P524" s="859"/>
      <c r="Q524" s="859"/>
      <c r="R524" s="859"/>
      <c r="S524" s="859"/>
      <c r="T524" s="859"/>
      <c r="U524" s="859"/>
      <c r="V524" s="859"/>
      <c r="W524" s="859"/>
      <c r="X524" s="859"/>
      <c r="Y524" s="859"/>
      <c r="Z524" s="859"/>
      <c r="AA524" s="859"/>
      <c r="AB524" s="859"/>
      <c r="AC524" s="859"/>
      <c r="AD524" s="859"/>
      <c r="AE524" s="869"/>
      <c r="AF524" s="869"/>
      <c r="AG524" s="869"/>
      <c r="AH524" s="869"/>
      <c r="AI524" s="869"/>
      <c r="AJ524" s="869"/>
      <c r="AK524" s="869"/>
      <c r="AL524" s="869"/>
      <c r="AM524" s="869"/>
      <c r="AN524" s="869"/>
      <c r="AO524" s="869"/>
      <c r="AP524" s="869"/>
      <c r="AQ524" s="869"/>
      <c r="AR524" s="869"/>
      <c r="AS524" s="869"/>
      <c r="AT524" s="869"/>
      <c r="AU524" s="869"/>
      <c r="AV524" s="869"/>
      <c r="AW524" s="869"/>
      <c r="AX524" s="869"/>
    </row>
    <row r="525" spans="8:8" customHeight="1">
      <c r="A525" s="859"/>
      <c r="B525" s="859"/>
      <c r="C525" s="859"/>
      <c r="D525" s="859"/>
      <c r="E525" s="975"/>
      <c r="F525" s="859"/>
      <c r="G525" s="859"/>
      <c r="H525" s="859"/>
      <c r="I525" s="859"/>
      <c r="J525" s="859"/>
      <c r="K525" s="859"/>
      <c r="L525" s="859"/>
      <c r="M525" s="859"/>
      <c r="N525" s="859"/>
      <c r="O525" s="859"/>
      <c r="P525" s="859"/>
      <c r="Q525" s="859"/>
      <c r="R525" s="859"/>
      <c r="S525" s="859"/>
      <c r="T525" s="859"/>
      <c r="U525" s="859"/>
      <c r="V525" s="859"/>
      <c r="W525" s="859"/>
      <c r="X525" s="859"/>
      <c r="Y525" s="859"/>
      <c r="Z525" s="859"/>
      <c r="AA525" s="859"/>
      <c r="AB525" s="859"/>
      <c r="AC525" s="859"/>
      <c r="AD525" s="859"/>
      <c r="AE525" s="869"/>
      <c r="AF525" s="869"/>
      <c r="AG525" s="869"/>
      <c r="AH525" s="869"/>
      <c r="AI525" s="869"/>
      <c r="AJ525" s="869"/>
      <c r="AK525" s="869"/>
      <c r="AL525" s="869"/>
      <c r="AM525" s="869"/>
      <c r="AN525" s="869"/>
      <c r="AO525" s="869"/>
      <c r="AP525" s="869"/>
      <c r="AQ525" s="869"/>
      <c r="AR525" s="869"/>
      <c r="AS525" s="869"/>
      <c r="AT525" s="869"/>
      <c r="AU525" s="869"/>
      <c r="AV525" s="869"/>
      <c r="AW525" s="869"/>
      <c r="AX525" s="869"/>
    </row>
    <row r="526" spans="8:8" customHeight="1">
      <c r="A526" s="859"/>
      <c r="B526" s="859"/>
      <c r="C526" s="859"/>
      <c r="D526" s="859"/>
      <c r="E526" s="975"/>
      <c r="F526" s="859"/>
      <c r="G526" s="859"/>
      <c r="H526" s="859"/>
      <c r="I526" s="859"/>
      <c r="J526" s="859"/>
      <c r="K526" s="859"/>
      <c r="L526" s="859"/>
      <c r="M526" s="859"/>
      <c r="N526" s="859"/>
      <c r="O526" s="859"/>
      <c r="P526" s="859"/>
      <c r="Q526" s="859"/>
      <c r="R526" s="859"/>
      <c r="S526" s="859"/>
      <c r="T526" s="859"/>
      <c r="U526" s="859"/>
      <c r="V526" s="859"/>
      <c r="W526" s="859"/>
      <c r="X526" s="859"/>
      <c r="Y526" s="859"/>
      <c r="Z526" s="859"/>
      <c r="AA526" s="859"/>
      <c r="AB526" s="859"/>
      <c r="AC526" s="859"/>
      <c r="AD526" s="859"/>
      <c r="AE526" s="869"/>
      <c r="AF526" s="869"/>
      <c r="AG526" s="869"/>
      <c r="AH526" s="869"/>
      <c r="AI526" s="869"/>
      <c r="AJ526" s="869"/>
      <c r="AK526" s="869"/>
      <c r="AL526" s="869"/>
      <c r="AM526" s="869"/>
      <c r="AN526" s="869"/>
      <c r="AO526" s="869"/>
      <c r="AP526" s="869"/>
      <c r="AQ526" s="869"/>
      <c r="AR526" s="869"/>
      <c r="AS526" s="869"/>
      <c r="AT526" s="869"/>
      <c r="AU526" s="869"/>
      <c r="AV526" s="869"/>
      <c r="AW526" s="869"/>
      <c r="AX526" s="869"/>
    </row>
    <row r="527" spans="8:8" customHeight="1">
      <c r="A527" s="859"/>
      <c r="B527" s="859"/>
      <c r="C527" s="859"/>
      <c r="D527" s="859"/>
      <c r="E527" s="975"/>
      <c r="F527" s="859"/>
      <c r="G527" s="859"/>
      <c r="H527" s="859"/>
      <c r="I527" s="859"/>
      <c r="J527" s="859"/>
      <c r="K527" s="859"/>
      <c r="L527" s="859"/>
      <c r="M527" s="859"/>
      <c r="N527" s="859"/>
      <c r="O527" s="859"/>
      <c r="P527" s="859"/>
      <c r="Q527" s="859"/>
      <c r="R527" s="859"/>
      <c r="S527" s="859"/>
      <c r="T527" s="859"/>
      <c r="U527" s="859"/>
      <c r="V527" s="859"/>
      <c r="W527" s="859"/>
      <c r="X527" s="859"/>
      <c r="Y527" s="859"/>
      <c r="Z527" s="859"/>
      <c r="AA527" s="859"/>
      <c r="AB527" s="859"/>
      <c r="AC527" s="859"/>
      <c r="AD527" s="859"/>
      <c r="AE527" s="869"/>
      <c r="AF527" s="869"/>
      <c r="AG527" s="869"/>
      <c r="AH527" s="869"/>
      <c r="AI527" s="869"/>
      <c r="AJ527" s="869"/>
      <c r="AK527" s="869"/>
      <c r="AL527" s="869"/>
      <c r="AM527" s="869"/>
      <c r="AN527" s="869"/>
      <c r="AO527" s="869"/>
      <c r="AP527" s="869"/>
      <c r="AQ527" s="869"/>
      <c r="AR527" s="869"/>
      <c r="AS527" s="869"/>
      <c r="AT527" s="869"/>
      <c r="AU527" s="869"/>
      <c r="AV527" s="869"/>
      <c r="AW527" s="869"/>
      <c r="AX527" s="869"/>
    </row>
    <row r="528" spans="8:8" customHeight="1">
      <c r="A528" s="859"/>
      <c r="B528" s="859"/>
      <c r="C528" s="859"/>
      <c r="D528" s="859"/>
      <c r="E528" s="975"/>
      <c r="F528" s="859"/>
      <c r="G528" s="859"/>
      <c r="H528" s="859"/>
      <c r="I528" s="859"/>
      <c r="J528" s="859"/>
      <c r="K528" s="859"/>
      <c r="L528" s="859"/>
      <c r="M528" s="859"/>
      <c r="N528" s="859"/>
      <c r="O528" s="859"/>
      <c r="P528" s="859"/>
      <c r="Q528" s="859"/>
      <c r="R528" s="859"/>
      <c r="S528" s="859"/>
      <c r="T528" s="859"/>
      <c r="U528" s="859"/>
      <c r="V528" s="859"/>
      <c r="W528" s="859"/>
      <c r="X528" s="859"/>
      <c r="Y528" s="859"/>
      <c r="Z528" s="859"/>
      <c r="AA528" s="859"/>
      <c r="AB528" s="859"/>
      <c r="AC528" s="859"/>
      <c r="AD528" s="859"/>
      <c r="AE528" s="869"/>
      <c r="AF528" s="869"/>
      <c r="AG528" s="869"/>
      <c r="AH528" s="869"/>
      <c r="AI528" s="869"/>
      <c r="AJ528" s="869"/>
      <c r="AK528" s="869"/>
      <c r="AL528" s="869"/>
      <c r="AM528" s="869"/>
      <c r="AN528" s="869"/>
      <c r="AO528" s="869"/>
      <c r="AP528" s="869"/>
      <c r="AQ528" s="869"/>
      <c r="AR528" s="869"/>
      <c r="AS528" s="869"/>
      <c r="AT528" s="869"/>
      <c r="AU528" s="869"/>
      <c r="AV528" s="869"/>
      <c r="AW528" s="869"/>
      <c r="AX528" s="869"/>
    </row>
    <row r="529" spans="8:8" customHeight="1">
      <c r="A529" s="859"/>
      <c r="B529" s="859"/>
      <c r="C529" s="859"/>
      <c r="D529" s="859"/>
      <c r="E529" s="975"/>
      <c r="F529" s="859"/>
      <c r="G529" s="859"/>
      <c r="H529" s="859"/>
      <c r="I529" s="859"/>
      <c r="J529" s="859"/>
      <c r="K529" s="859"/>
      <c r="L529" s="859"/>
      <c r="M529" s="859"/>
      <c r="N529" s="859"/>
      <c r="O529" s="859"/>
      <c r="P529" s="859"/>
      <c r="Q529" s="859"/>
      <c r="R529" s="859"/>
      <c r="S529" s="859"/>
      <c r="T529" s="859"/>
      <c r="U529" s="859"/>
      <c r="V529" s="859"/>
      <c r="W529" s="859"/>
      <c r="X529" s="859"/>
      <c r="Y529" s="859"/>
      <c r="Z529" s="859"/>
      <c r="AA529" s="859"/>
      <c r="AB529" s="859"/>
      <c r="AC529" s="859"/>
      <c r="AD529" s="859"/>
      <c r="AE529" s="869"/>
      <c r="AF529" s="869"/>
      <c r="AG529" s="869"/>
      <c r="AH529" s="869"/>
      <c r="AI529" s="869"/>
      <c r="AJ529" s="869"/>
      <c r="AK529" s="869"/>
      <c r="AL529" s="869"/>
      <c r="AM529" s="869"/>
      <c r="AN529" s="869"/>
      <c r="AO529" s="869"/>
      <c r="AP529" s="869"/>
      <c r="AQ529" s="869"/>
      <c r="AR529" s="869"/>
      <c r="AS529" s="869"/>
      <c r="AT529" s="869"/>
      <c r="AU529" s="869"/>
      <c r="AV529" s="869"/>
      <c r="AW529" s="869"/>
      <c r="AX529" s="869"/>
    </row>
    <row r="530" spans="8:8" customHeight="1">
      <c r="A530" s="859"/>
      <c r="B530" s="859"/>
      <c r="C530" s="859"/>
      <c r="D530" s="859"/>
      <c r="E530" s="975"/>
      <c r="F530" s="859"/>
      <c r="G530" s="859"/>
      <c r="H530" s="859"/>
      <c r="I530" s="859"/>
      <c r="J530" s="859"/>
      <c r="K530" s="859"/>
      <c r="L530" s="859"/>
      <c r="M530" s="859"/>
      <c r="N530" s="859"/>
      <c r="O530" s="859"/>
      <c r="P530" s="859"/>
      <c r="Q530" s="859"/>
      <c r="R530" s="859"/>
      <c r="S530" s="859"/>
      <c r="T530" s="859"/>
      <c r="U530" s="859"/>
      <c r="V530" s="859"/>
      <c r="W530" s="859"/>
      <c r="X530" s="859"/>
      <c r="Y530" s="859"/>
      <c r="Z530" s="859"/>
      <c r="AA530" s="859"/>
      <c r="AB530" s="859"/>
      <c r="AC530" s="859"/>
      <c r="AD530" s="859"/>
      <c r="AE530" s="869"/>
      <c r="AF530" s="869"/>
      <c r="AG530" s="869"/>
      <c r="AH530" s="869"/>
      <c r="AI530" s="869"/>
      <c r="AJ530" s="869"/>
      <c r="AK530" s="869"/>
      <c r="AL530" s="869"/>
      <c r="AM530" s="869"/>
      <c r="AN530" s="869"/>
      <c r="AO530" s="869"/>
      <c r="AP530" s="869"/>
      <c r="AQ530" s="869"/>
      <c r="AR530" s="869"/>
      <c r="AS530" s="869"/>
      <c r="AT530" s="869"/>
      <c r="AU530" s="869"/>
      <c r="AV530" s="869"/>
      <c r="AW530" s="869"/>
      <c r="AX530" s="869"/>
    </row>
    <row r="531" spans="8:8" customHeight="1">
      <c r="A531" s="859"/>
      <c r="B531" s="859"/>
      <c r="C531" s="859"/>
      <c r="D531" s="859"/>
      <c r="E531" s="975"/>
      <c r="F531" s="859"/>
      <c r="G531" s="859"/>
      <c r="H531" s="859"/>
      <c r="I531" s="859"/>
      <c r="J531" s="859"/>
      <c r="K531" s="859"/>
      <c r="L531" s="859"/>
      <c r="M531" s="859"/>
      <c r="N531" s="859"/>
      <c r="O531" s="859"/>
      <c r="P531" s="859"/>
      <c r="Q531" s="859"/>
      <c r="R531" s="859"/>
      <c r="S531" s="859"/>
      <c r="T531" s="859"/>
      <c r="U531" s="859"/>
      <c r="V531" s="859"/>
      <c r="W531" s="859"/>
      <c r="X531" s="859"/>
      <c r="Y531" s="859"/>
      <c r="Z531" s="859"/>
      <c r="AA531" s="859"/>
      <c r="AB531" s="859"/>
      <c r="AC531" s="859"/>
      <c r="AD531" s="859"/>
      <c r="AE531" s="869"/>
      <c r="AF531" s="869"/>
      <c r="AG531" s="869"/>
      <c r="AH531" s="869"/>
      <c r="AI531" s="869"/>
      <c r="AJ531" s="869"/>
      <c r="AK531" s="869"/>
      <c r="AL531" s="869"/>
      <c r="AM531" s="869"/>
      <c r="AN531" s="869"/>
      <c r="AO531" s="869"/>
      <c r="AP531" s="869"/>
      <c r="AQ531" s="869"/>
      <c r="AR531" s="869"/>
      <c r="AS531" s="869"/>
      <c r="AT531" s="869"/>
      <c r="AU531" s="869"/>
      <c r="AV531" s="869"/>
      <c r="AW531" s="869"/>
      <c r="AX531" s="869"/>
    </row>
    <row r="532" spans="8:8" customHeight="1">
      <c r="A532" s="859"/>
      <c r="B532" s="859"/>
      <c r="C532" s="859"/>
      <c r="D532" s="859"/>
      <c r="E532" s="975"/>
      <c r="F532" s="859"/>
      <c r="G532" s="859"/>
      <c r="H532" s="859"/>
      <c r="I532" s="859"/>
      <c r="J532" s="859"/>
      <c r="K532" s="859"/>
      <c r="L532" s="859"/>
      <c r="M532" s="859"/>
      <c r="N532" s="859"/>
      <c r="O532" s="859"/>
      <c r="P532" s="859"/>
      <c r="Q532" s="859"/>
      <c r="R532" s="859"/>
      <c r="S532" s="859"/>
      <c r="T532" s="859"/>
      <c r="U532" s="859"/>
      <c r="V532" s="859"/>
      <c r="W532" s="859"/>
      <c r="X532" s="859"/>
      <c r="Y532" s="859"/>
      <c r="Z532" s="859"/>
      <c r="AA532" s="859"/>
      <c r="AB532" s="859"/>
      <c r="AC532" s="859"/>
      <c r="AD532" s="859"/>
      <c r="AE532" s="869"/>
      <c r="AF532" s="869"/>
      <c r="AG532" s="869"/>
      <c r="AH532" s="869"/>
      <c r="AI532" s="869"/>
      <c r="AJ532" s="869"/>
      <c r="AK532" s="869"/>
      <c r="AL532" s="869"/>
      <c r="AM532" s="869"/>
      <c r="AN532" s="869"/>
      <c r="AO532" s="869"/>
      <c r="AP532" s="869"/>
      <c r="AQ532" s="869"/>
      <c r="AR532" s="869"/>
      <c r="AS532" s="869"/>
      <c r="AT532" s="869"/>
      <c r="AU532" s="869"/>
      <c r="AV532" s="869"/>
      <c r="AW532" s="869"/>
      <c r="AX532" s="869"/>
    </row>
    <row r="533" spans="8:8" customHeight="1">
      <c r="A533" s="859"/>
      <c r="B533" s="859"/>
      <c r="C533" s="859"/>
      <c r="D533" s="859"/>
      <c r="E533" s="975"/>
      <c r="F533" s="859"/>
      <c r="G533" s="859"/>
      <c r="H533" s="859"/>
      <c r="I533" s="859"/>
      <c r="J533" s="859"/>
      <c r="K533" s="859"/>
      <c r="L533" s="859"/>
      <c r="M533" s="859"/>
      <c r="N533" s="859"/>
      <c r="O533" s="859"/>
      <c r="P533" s="859"/>
      <c r="Q533" s="859"/>
      <c r="R533" s="859"/>
      <c r="S533" s="859"/>
      <c r="T533" s="859"/>
      <c r="U533" s="859"/>
      <c r="V533" s="859"/>
      <c r="W533" s="859"/>
      <c r="X533" s="859"/>
      <c r="Y533" s="859"/>
      <c r="Z533" s="859"/>
      <c r="AA533" s="859"/>
      <c r="AB533" s="859"/>
      <c r="AC533" s="859"/>
      <c r="AD533" s="859"/>
      <c r="AE533" s="869"/>
      <c r="AF533" s="869"/>
      <c r="AG533" s="869"/>
      <c r="AH533" s="869"/>
      <c r="AI533" s="869"/>
      <c r="AJ533" s="869"/>
      <c r="AK533" s="869"/>
      <c r="AL533" s="869"/>
      <c r="AM533" s="869"/>
      <c r="AN533" s="869"/>
      <c r="AO533" s="869"/>
      <c r="AP533" s="869"/>
      <c r="AQ533" s="869"/>
      <c r="AR533" s="869"/>
      <c r="AS533" s="869"/>
      <c r="AT533" s="869"/>
      <c r="AU533" s="869"/>
      <c r="AV533" s="869"/>
      <c r="AW533" s="869"/>
      <c r="AX533" s="869"/>
    </row>
    <row r="534" spans="8:8" customHeight="1">
      <c r="A534" s="859"/>
      <c r="B534" s="859"/>
      <c r="C534" s="859"/>
      <c r="D534" s="859"/>
      <c r="E534" s="975"/>
      <c r="F534" s="859"/>
      <c r="G534" s="859"/>
      <c r="H534" s="859"/>
      <c r="I534" s="859"/>
      <c r="J534" s="859"/>
      <c r="K534" s="859"/>
      <c r="L534" s="859"/>
      <c r="M534" s="859"/>
      <c r="N534" s="859"/>
      <c r="O534" s="859"/>
      <c r="P534" s="859"/>
      <c r="Q534" s="859"/>
      <c r="R534" s="859"/>
      <c r="S534" s="859"/>
      <c r="T534" s="859"/>
      <c r="U534" s="859"/>
      <c r="V534" s="859"/>
      <c r="W534" s="859"/>
      <c r="X534" s="859"/>
      <c r="Y534" s="859"/>
      <c r="Z534" s="859"/>
      <c r="AA534" s="859"/>
      <c r="AB534" s="859"/>
      <c r="AC534" s="859"/>
      <c r="AD534" s="859"/>
      <c r="AE534" s="869"/>
      <c r="AF534" s="869"/>
      <c r="AG534" s="869"/>
      <c r="AH534" s="869"/>
      <c r="AI534" s="869"/>
      <c r="AJ534" s="869"/>
      <c r="AK534" s="869"/>
      <c r="AL534" s="869"/>
      <c r="AM534" s="869"/>
      <c r="AN534" s="869"/>
      <c r="AO534" s="869"/>
      <c r="AP534" s="869"/>
      <c r="AQ534" s="869"/>
      <c r="AR534" s="869"/>
      <c r="AS534" s="869"/>
      <c r="AT534" s="869"/>
      <c r="AU534" s="869"/>
      <c r="AV534" s="869"/>
      <c r="AW534" s="869"/>
      <c r="AX534" s="869"/>
    </row>
    <row r="535" spans="8:8" customHeight="1">
      <c r="A535" s="859"/>
      <c r="B535" s="859"/>
      <c r="C535" s="859"/>
      <c r="D535" s="859"/>
      <c r="E535" s="975"/>
      <c r="F535" s="859"/>
      <c r="G535" s="859"/>
      <c r="H535" s="859"/>
      <c r="I535" s="859"/>
      <c r="J535" s="859"/>
      <c r="K535" s="859"/>
      <c r="L535" s="859"/>
      <c r="M535" s="859"/>
      <c r="N535" s="859"/>
      <c r="O535" s="859"/>
      <c r="P535" s="859"/>
      <c r="Q535" s="859"/>
      <c r="R535" s="859"/>
      <c r="S535" s="859"/>
      <c r="T535" s="859"/>
      <c r="U535" s="859"/>
      <c r="V535" s="859"/>
      <c r="W535" s="859"/>
      <c r="X535" s="859"/>
      <c r="Y535" s="859"/>
      <c r="Z535" s="859"/>
      <c r="AA535" s="859"/>
      <c r="AB535" s="859"/>
      <c r="AC535" s="859"/>
      <c r="AD535" s="859"/>
      <c r="AE535" s="869"/>
      <c r="AF535" s="869"/>
      <c r="AG535" s="869"/>
      <c r="AH535" s="869"/>
      <c r="AI535" s="869"/>
      <c r="AJ535" s="869"/>
      <c r="AK535" s="869"/>
      <c r="AL535" s="869"/>
      <c r="AM535" s="869"/>
      <c r="AN535" s="869"/>
      <c r="AO535" s="869"/>
      <c r="AP535" s="869"/>
      <c r="AQ535" s="869"/>
      <c r="AR535" s="869"/>
      <c r="AS535" s="869"/>
      <c r="AT535" s="869"/>
      <c r="AU535" s="869"/>
      <c r="AV535" s="869"/>
      <c r="AW535" s="869"/>
      <c r="AX535" s="869"/>
    </row>
    <row r="536" spans="8:8" customHeight="1">
      <c r="A536" s="859"/>
      <c r="B536" s="859"/>
      <c r="C536" s="859"/>
      <c r="D536" s="859"/>
      <c r="E536" s="975"/>
      <c r="F536" s="859"/>
      <c r="G536" s="859"/>
      <c r="H536" s="859"/>
      <c r="I536" s="859"/>
      <c r="J536" s="859"/>
      <c r="K536" s="859"/>
      <c r="L536" s="859"/>
      <c r="M536" s="859"/>
      <c r="N536" s="859"/>
      <c r="O536" s="859"/>
      <c r="P536" s="859"/>
      <c r="Q536" s="859"/>
      <c r="R536" s="859"/>
      <c r="S536" s="859"/>
      <c r="T536" s="859"/>
      <c r="U536" s="859"/>
      <c r="V536" s="859"/>
      <c r="W536" s="859"/>
      <c r="X536" s="859"/>
      <c r="Y536" s="859"/>
      <c r="Z536" s="859"/>
      <c r="AA536" s="859"/>
      <c r="AB536" s="859"/>
      <c r="AC536" s="859"/>
      <c r="AD536" s="859"/>
      <c r="AE536" s="869"/>
      <c r="AF536" s="869"/>
      <c r="AG536" s="869"/>
      <c r="AH536" s="869"/>
      <c r="AI536" s="869"/>
      <c r="AJ536" s="869"/>
      <c r="AK536" s="869"/>
      <c r="AL536" s="869"/>
      <c r="AM536" s="869"/>
      <c r="AN536" s="869"/>
      <c r="AO536" s="869"/>
      <c r="AP536" s="869"/>
      <c r="AQ536" s="869"/>
      <c r="AR536" s="869"/>
      <c r="AS536" s="869"/>
      <c r="AT536" s="869"/>
      <c r="AU536" s="869"/>
      <c r="AV536" s="869"/>
      <c r="AW536" s="869"/>
      <c r="AX536" s="869"/>
    </row>
    <row r="537" spans="8:8" customHeight="1">
      <c r="A537" s="859"/>
      <c r="B537" s="859"/>
      <c r="C537" s="859"/>
      <c r="D537" s="859"/>
      <c r="E537" s="975"/>
      <c r="F537" s="859"/>
      <c r="G537" s="859"/>
      <c r="H537" s="859"/>
      <c r="I537" s="859"/>
      <c r="J537" s="859"/>
      <c r="K537" s="859"/>
      <c r="L537" s="859"/>
      <c r="M537" s="859"/>
      <c r="N537" s="859"/>
      <c r="O537" s="859"/>
      <c r="P537" s="859"/>
      <c r="Q537" s="859"/>
      <c r="R537" s="859"/>
      <c r="S537" s="859"/>
      <c r="T537" s="859"/>
      <c r="U537" s="859"/>
      <c r="V537" s="859"/>
      <c r="W537" s="859"/>
      <c r="X537" s="859"/>
      <c r="Y537" s="859"/>
      <c r="Z537" s="859"/>
      <c r="AA537" s="859"/>
      <c r="AB537" s="859"/>
      <c r="AC537" s="859"/>
      <c r="AD537" s="859"/>
      <c r="AE537" s="869"/>
      <c r="AF537" s="869"/>
      <c r="AG537" s="869"/>
      <c r="AH537" s="869"/>
      <c r="AI537" s="869"/>
      <c r="AJ537" s="869"/>
      <c r="AK537" s="869"/>
      <c r="AL537" s="869"/>
      <c r="AM537" s="869"/>
      <c r="AN537" s="869"/>
      <c r="AO537" s="869"/>
      <c r="AP537" s="869"/>
      <c r="AQ537" s="869"/>
      <c r="AR537" s="869"/>
      <c r="AS537" s="869"/>
      <c r="AT537" s="869"/>
      <c r="AU537" s="869"/>
      <c r="AV537" s="869"/>
      <c r="AW537" s="869"/>
      <c r="AX537" s="869"/>
    </row>
    <row r="538" spans="8:8" customHeight="1">
      <c r="A538" s="859"/>
      <c r="B538" s="859"/>
      <c r="C538" s="859"/>
      <c r="D538" s="859"/>
      <c r="E538" s="975"/>
      <c r="F538" s="859"/>
      <c r="G538" s="859"/>
      <c r="H538" s="859"/>
      <c r="I538" s="859"/>
      <c r="J538" s="859"/>
      <c r="K538" s="859"/>
      <c r="L538" s="859"/>
      <c r="M538" s="859"/>
      <c r="N538" s="859"/>
      <c r="O538" s="859"/>
      <c r="P538" s="859"/>
      <c r="Q538" s="859"/>
      <c r="R538" s="859"/>
      <c r="S538" s="859"/>
      <c r="T538" s="859"/>
      <c r="U538" s="859"/>
      <c r="V538" s="859"/>
      <c r="W538" s="859"/>
      <c r="X538" s="859"/>
      <c r="Y538" s="859"/>
      <c r="Z538" s="859"/>
      <c r="AA538" s="859"/>
      <c r="AB538" s="859"/>
      <c r="AC538" s="859"/>
      <c r="AD538" s="859"/>
      <c r="AE538" s="869"/>
      <c r="AF538" s="869"/>
      <c r="AG538" s="869"/>
      <c r="AH538" s="869"/>
      <c r="AI538" s="869"/>
      <c r="AJ538" s="869"/>
      <c r="AK538" s="869"/>
      <c r="AL538" s="869"/>
      <c r="AM538" s="869"/>
      <c r="AN538" s="869"/>
      <c r="AO538" s="869"/>
      <c r="AP538" s="869"/>
      <c r="AQ538" s="869"/>
      <c r="AR538" s="869"/>
      <c r="AS538" s="869"/>
      <c r="AT538" s="869"/>
      <c r="AU538" s="869"/>
      <c r="AV538" s="869"/>
      <c r="AW538" s="869"/>
      <c r="AX538" s="869"/>
    </row>
    <row r="539" spans="8:8" customHeight="1">
      <c r="A539" s="859"/>
      <c r="B539" s="859"/>
      <c r="C539" s="859"/>
      <c r="D539" s="859"/>
      <c r="E539" s="975"/>
      <c r="F539" s="859"/>
      <c r="G539" s="859"/>
      <c r="H539" s="859"/>
      <c r="I539" s="859"/>
      <c r="J539" s="859"/>
      <c r="K539" s="859"/>
      <c r="L539" s="859"/>
      <c r="M539" s="859"/>
      <c r="N539" s="859"/>
      <c r="O539" s="859"/>
      <c r="P539" s="859"/>
      <c r="Q539" s="859"/>
      <c r="R539" s="859"/>
      <c r="S539" s="859"/>
      <c r="T539" s="859"/>
      <c r="U539" s="859"/>
      <c r="V539" s="859"/>
      <c r="W539" s="859"/>
      <c r="X539" s="859"/>
      <c r="Y539" s="859"/>
      <c r="Z539" s="859"/>
      <c r="AA539" s="859"/>
      <c r="AB539" s="859"/>
      <c r="AC539" s="859"/>
      <c r="AD539" s="859"/>
      <c r="AE539" s="869"/>
      <c r="AF539" s="869"/>
      <c r="AG539" s="869"/>
      <c r="AH539" s="869"/>
      <c r="AI539" s="869"/>
      <c r="AJ539" s="869"/>
      <c r="AK539" s="869"/>
      <c r="AL539" s="869"/>
      <c r="AM539" s="869"/>
      <c r="AN539" s="869"/>
      <c r="AO539" s="869"/>
      <c r="AP539" s="869"/>
      <c r="AQ539" s="869"/>
      <c r="AR539" s="869"/>
      <c r="AS539" s="869"/>
      <c r="AT539" s="869"/>
      <c r="AU539" s="869"/>
      <c r="AV539" s="869"/>
      <c r="AW539" s="869"/>
      <c r="AX539" s="869"/>
    </row>
    <row r="540" spans="8:8" customHeight="1">
      <c r="A540" s="859"/>
      <c r="B540" s="859"/>
      <c r="C540" s="859"/>
      <c r="D540" s="859"/>
      <c r="E540" s="975"/>
      <c r="F540" s="859"/>
      <c r="G540" s="859"/>
      <c r="H540" s="859"/>
      <c r="I540" s="859"/>
      <c r="J540" s="859"/>
      <c r="K540" s="859"/>
      <c r="L540" s="859"/>
      <c r="M540" s="859"/>
      <c r="N540" s="859"/>
      <c r="O540" s="859"/>
      <c r="P540" s="859"/>
      <c r="Q540" s="859"/>
      <c r="R540" s="859"/>
      <c r="S540" s="859"/>
      <c r="T540" s="859"/>
      <c r="U540" s="859"/>
      <c r="V540" s="859"/>
      <c r="W540" s="859"/>
      <c r="X540" s="859"/>
      <c r="Y540" s="859"/>
      <c r="Z540" s="859"/>
      <c r="AA540" s="859"/>
      <c r="AB540" s="859"/>
      <c r="AC540" s="859"/>
      <c r="AD540" s="859"/>
      <c r="AE540" s="869"/>
      <c r="AF540" s="869"/>
      <c r="AG540" s="869"/>
      <c r="AH540" s="869"/>
      <c r="AI540" s="869"/>
      <c r="AJ540" s="869"/>
      <c r="AK540" s="869"/>
      <c r="AL540" s="869"/>
      <c r="AM540" s="869"/>
      <c r="AN540" s="869"/>
      <c r="AO540" s="869"/>
      <c r="AP540" s="869"/>
      <c r="AQ540" s="869"/>
      <c r="AR540" s="869"/>
      <c r="AS540" s="869"/>
      <c r="AT540" s="869"/>
      <c r="AU540" s="869"/>
      <c r="AV540" s="869"/>
      <c r="AW540" s="869"/>
      <c r="AX540" s="869"/>
    </row>
    <row r="541" spans="8:8" customHeight="1">
      <c r="A541" s="859"/>
      <c r="B541" s="859"/>
      <c r="C541" s="859"/>
      <c r="D541" s="859"/>
      <c r="E541" s="975"/>
      <c r="F541" s="859"/>
      <c r="G541" s="859"/>
      <c r="H541" s="859"/>
      <c r="I541" s="859"/>
      <c r="J541" s="859"/>
      <c r="K541" s="859"/>
      <c r="L541" s="859"/>
      <c r="M541" s="859"/>
      <c r="N541" s="859"/>
      <c r="O541" s="859"/>
      <c r="P541" s="859"/>
      <c r="Q541" s="859"/>
      <c r="R541" s="859"/>
      <c r="S541" s="859"/>
      <c r="T541" s="859"/>
      <c r="U541" s="859"/>
      <c r="V541" s="859"/>
      <c r="W541" s="859"/>
      <c r="X541" s="859"/>
      <c r="Y541" s="859"/>
      <c r="Z541" s="859"/>
      <c r="AA541" s="859"/>
      <c r="AB541" s="859"/>
      <c r="AC541" s="859"/>
      <c r="AD541" s="859"/>
      <c r="AE541" s="869"/>
      <c r="AF541" s="869"/>
      <c r="AG541" s="869"/>
      <c r="AH541" s="869"/>
      <c r="AI541" s="869"/>
      <c r="AJ541" s="869"/>
      <c r="AK541" s="869"/>
      <c r="AL541" s="869"/>
      <c r="AM541" s="869"/>
      <c r="AN541" s="869"/>
      <c r="AO541" s="869"/>
      <c r="AP541" s="869"/>
      <c r="AQ541" s="869"/>
      <c r="AR541" s="869"/>
      <c r="AS541" s="869"/>
      <c r="AT541" s="869"/>
      <c r="AU541" s="869"/>
      <c r="AV541" s="869"/>
      <c r="AW541" s="869"/>
      <c r="AX541" s="869"/>
    </row>
    <row r="542" spans="8:8" customHeight="1">
      <c r="A542" s="859"/>
      <c r="B542" s="859"/>
      <c r="C542" s="859"/>
      <c r="D542" s="859"/>
      <c r="E542" s="975"/>
      <c r="F542" s="859"/>
      <c r="G542" s="859"/>
      <c r="H542" s="859"/>
      <c r="I542" s="859"/>
      <c r="J542" s="859"/>
      <c r="K542" s="859"/>
      <c r="L542" s="859"/>
      <c r="M542" s="859"/>
      <c r="N542" s="859"/>
      <c r="O542" s="859"/>
      <c r="P542" s="859"/>
      <c r="Q542" s="859"/>
      <c r="R542" s="859"/>
      <c r="S542" s="859"/>
      <c r="T542" s="859"/>
      <c r="U542" s="859"/>
      <c r="V542" s="859"/>
      <c r="W542" s="859"/>
      <c r="X542" s="859"/>
      <c r="Y542" s="859"/>
      <c r="Z542" s="859"/>
      <c r="AA542" s="859"/>
      <c r="AB542" s="859"/>
      <c r="AC542" s="859"/>
      <c r="AD542" s="859"/>
      <c r="AE542" s="869"/>
      <c r="AF542" s="869"/>
      <c r="AG542" s="869"/>
      <c r="AH542" s="869"/>
      <c r="AI542" s="869"/>
      <c r="AJ542" s="869"/>
      <c r="AK542" s="869"/>
      <c r="AL542" s="869"/>
      <c r="AM542" s="869"/>
      <c r="AN542" s="869"/>
      <c r="AO542" s="869"/>
      <c r="AP542" s="869"/>
      <c r="AQ542" s="869"/>
      <c r="AR542" s="869"/>
      <c r="AS542" s="869"/>
      <c r="AT542" s="869"/>
      <c r="AU542" s="869"/>
      <c r="AV542" s="869"/>
      <c r="AW542" s="869"/>
      <c r="AX542" s="869"/>
    </row>
    <row r="543" spans="8:8" customHeight="1">
      <c r="A543" s="859"/>
      <c r="B543" s="859"/>
      <c r="C543" s="859"/>
      <c r="D543" s="859"/>
      <c r="E543" s="975"/>
      <c r="F543" s="859"/>
      <c r="G543" s="859"/>
      <c r="H543" s="859"/>
      <c r="I543" s="859"/>
      <c r="J543" s="859"/>
      <c r="K543" s="859"/>
      <c r="L543" s="859"/>
      <c r="M543" s="859"/>
      <c r="N543" s="859"/>
      <c r="O543" s="859"/>
      <c r="P543" s="859"/>
      <c r="Q543" s="859"/>
      <c r="R543" s="859"/>
      <c r="S543" s="859"/>
      <c r="T543" s="859"/>
      <c r="U543" s="859"/>
      <c r="V543" s="859"/>
      <c r="W543" s="859"/>
      <c r="X543" s="859"/>
      <c r="Y543" s="859"/>
      <c r="Z543" s="859"/>
      <c r="AA543" s="859"/>
      <c r="AB543" s="859"/>
      <c r="AC543" s="859"/>
      <c r="AD543" s="859"/>
      <c r="AE543" s="869"/>
      <c r="AF543" s="869"/>
      <c r="AG543" s="869"/>
      <c r="AH543" s="869"/>
      <c r="AI543" s="869"/>
      <c r="AJ543" s="869"/>
      <c r="AK543" s="869"/>
      <c r="AL543" s="869"/>
      <c r="AM543" s="869"/>
      <c r="AN543" s="869"/>
      <c r="AO543" s="869"/>
      <c r="AP543" s="869"/>
      <c r="AQ543" s="869"/>
      <c r="AR543" s="869"/>
      <c r="AS543" s="869"/>
      <c r="AT543" s="869"/>
      <c r="AU543" s="869"/>
      <c r="AV543" s="869"/>
      <c r="AW543" s="869"/>
      <c r="AX543" s="869"/>
    </row>
    <row r="544" spans="8:8" customHeight="1">
      <c r="A544" s="859"/>
      <c r="B544" s="859"/>
      <c r="C544" s="859"/>
      <c r="D544" s="859"/>
      <c r="E544" s="975"/>
      <c r="F544" s="859"/>
      <c r="G544" s="859"/>
      <c r="H544" s="859"/>
      <c r="I544" s="859"/>
      <c r="J544" s="859"/>
      <c r="K544" s="859"/>
      <c r="L544" s="859"/>
      <c r="M544" s="859"/>
      <c r="N544" s="859"/>
      <c r="O544" s="859"/>
      <c r="P544" s="859"/>
      <c r="Q544" s="859"/>
      <c r="R544" s="859"/>
      <c r="S544" s="859"/>
      <c r="T544" s="859"/>
      <c r="U544" s="859"/>
      <c r="V544" s="859"/>
      <c r="W544" s="859"/>
      <c r="X544" s="859"/>
      <c r="Y544" s="859"/>
      <c r="Z544" s="859"/>
      <c r="AA544" s="859"/>
      <c r="AB544" s="859"/>
      <c r="AC544" s="859"/>
      <c r="AD544" s="859"/>
      <c r="AE544" s="869"/>
      <c r="AF544" s="869"/>
      <c r="AG544" s="869"/>
      <c r="AH544" s="869"/>
      <c r="AI544" s="869"/>
      <c r="AJ544" s="869"/>
      <c r="AK544" s="869"/>
      <c r="AL544" s="869"/>
      <c r="AM544" s="869"/>
      <c r="AN544" s="869"/>
      <c r="AO544" s="869"/>
      <c r="AP544" s="869"/>
      <c r="AQ544" s="869"/>
      <c r="AR544" s="869"/>
      <c r="AS544" s="869"/>
      <c r="AT544" s="869"/>
      <c r="AU544" s="869"/>
      <c r="AV544" s="869"/>
      <c r="AW544" s="869"/>
      <c r="AX544" s="869"/>
    </row>
    <row r="545" spans="8:8" customHeight="1">
      <c r="A545" s="859"/>
      <c r="B545" s="859"/>
      <c r="C545" s="859"/>
      <c r="D545" s="859"/>
      <c r="E545" s="975"/>
      <c r="F545" s="859"/>
      <c r="G545" s="859"/>
      <c r="H545" s="859"/>
      <c r="I545" s="859"/>
      <c r="J545" s="859"/>
      <c r="K545" s="859"/>
      <c r="L545" s="859"/>
      <c r="M545" s="859"/>
      <c r="N545" s="859"/>
      <c r="O545" s="859"/>
      <c r="P545" s="859"/>
      <c r="Q545" s="859"/>
      <c r="R545" s="859"/>
      <c r="S545" s="859"/>
      <c r="T545" s="859"/>
      <c r="U545" s="859"/>
      <c r="V545" s="859"/>
      <c r="W545" s="859"/>
      <c r="X545" s="859"/>
      <c r="Y545" s="859"/>
      <c r="Z545" s="859"/>
      <c r="AA545" s="859"/>
      <c r="AB545" s="859"/>
      <c r="AC545" s="859"/>
      <c r="AD545" s="859"/>
      <c r="AE545" s="869"/>
      <c r="AF545" s="869"/>
      <c r="AG545" s="869"/>
      <c r="AH545" s="869"/>
      <c r="AI545" s="869"/>
      <c r="AJ545" s="869"/>
      <c r="AK545" s="869"/>
      <c r="AL545" s="869"/>
      <c r="AM545" s="869"/>
      <c r="AN545" s="869"/>
      <c r="AO545" s="869"/>
      <c r="AP545" s="869"/>
      <c r="AQ545" s="869"/>
      <c r="AR545" s="869"/>
      <c r="AS545" s="869"/>
      <c r="AT545" s="869"/>
      <c r="AU545" s="869"/>
      <c r="AV545" s="869"/>
      <c r="AW545" s="869"/>
      <c r="AX545" s="869"/>
    </row>
    <row r="546" spans="8:8" customHeight="1">
      <c r="A546" s="859"/>
      <c r="B546" s="859"/>
      <c r="C546" s="859"/>
      <c r="D546" s="859"/>
      <c r="E546" s="975"/>
      <c r="F546" s="859"/>
      <c r="G546" s="859"/>
      <c r="H546" s="859"/>
      <c r="I546" s="859"/>
      <c r="J546" s="859"/>
      <c r="K546" s="859"/>
      <c r="L546" s="859"/>
      <c r="M546" s="859"/>
      <c r="N546" s="859"/>
      <c r="O546" s="859"/>
      <c r="P546" s="859"/>
      <c r="Q546" s="859"/>
      <c r="R546" s="859"/>
      <c r="S546" s="859"/>
      <c r="T546" s="859"/>
      <c r="U546" s="859"/>
      <c r="V546" s="859"/>
      <c r="W546" s="859"/>
      <c r="X546" s="859"/>
      <c r="Y546" s="859"/>
      <c r="Z546" s="859"/>
      <c r="AA546" s="859"/>
      <c r="AB546" s="859"/>
      <c r="AC546" s="859"/>
      <c r="AD546" s="859"/>
      <c r="AE546" s="869"/>
      <c r="AF546" s="869"/>
      <c r="AG546" s="869"/>
      <c r="AH546" s="869"/>
      <c r="AI546" s="869"/>
      <c r="AJ546" s="869"/>
      <c r="AK546" s="869"/>
      <c r="AL546" s="869"/>
      <c r="AM546" s="869"/>
      <c r="AN546" s="869"/>
      <c r="AO546" s="869"/>
      <c r="AP546" s="869"/>
      <c r="AQ546" s="869"/>
      <c r="AR546" s="869"/>
      <c r="AS546" s="869"/>
      <c r="AT546" s="869"/>
      <c r="AU546" s="869"/>
      <c r="AV546" s="869"/>
      <c r="AW546" s="869"/>
      <c r="AX546" s="869"/>
    </row>
    <row r="547" spans="8:8" customHeight="1">
      <c r="A547" s="859"/>
      <c r="B547" s="859"/>
      <c r="C547" s="859"/>
      <c r="D547" s="859"/>
      <c r="E547" s="975"/>
      <c r="F547" s="859"/>
      <c r="G547" s="859"/>
      <c r="H547" s="859"/>
      <c r="I547" s="859"/>
      <c r="J547" s="859"/>
      <c r="K547" s="859"/>
      <c r="L547" s="859"/>
      <c r="M547" s="859"/>
      <c r="N547" s="859"/>
      <c r="O547" s="859"/>
      <c r="P547" s="859"/>
      <c r="Q547" s="859"/>
      <c r="R547" s="859"/>
      <c r="S547" s="859"/>
      <c r="T547" s="859"/>
      <c r="U547" s="859"/>
      <c r="V547" s="859"/>
      <c r="W547" s="859"/>
      <c r="X547" s="859"/>
      <c r="Y547" s="859"/>
      <c r="Z547" s="859"/>
      <c r="AA547" s="859"/>
      <c r="AB547" s="859"/>
      <c r="AC547" s="859"/>
      <c r="AD547" s="859"/>
      <c r="AE547" s="869"/>
      <c r="AF547" s="869"/>
      <c r="AG547" s="869"/>
      <c r="AH547" s="869"/>
      <c r="AI547" s="869"/>
      <c r="AJ547" s="869"/>
      <c r="AK547" s="869"/>
      <c r="AL547" s="869"/>
      <c r="AM547" s="869"/>
      <c r="AN547" s="869"/>
      <c r="AO547" s="869"/>
      <c r="AP547" s="869"/>
      <c r="AQ547" s="869"/>
      <c r="AR547" s="869"/>
      <c r="AS547" s="869"/>
      <c r="AT547" s="869"/>
      <c r="AU547" s="869"/>
      <c r="AV547" s="869"/>
      <c r="AW547" s="869"/>
      <c r="AX547" s="869"/>
    </row>
    <row r="548" spans="8:8" customHeight="1">
      <c r="A548" s="859"/>
      <c r="B548" s="859"/>
      <c r="C548" s="859"/>
      <c r="D548" s="859"/>
      <c r="E548" s="975"/>
      <c r="F548" s="859"/>
      <c r="G548" s="859"/>
      <c r="H548" s="859"/>
      <c r="I548" s="859"/>
      <c r="J548" s="859"/>
      <c r="K548" s="859"/>
      <c r="L548" s="859"/>
      <c r="M548" s="859"/>
      <c r="N548" s="859"/>
      <c r="O548" s="859"/>
      <c r="P548" s="859"/>
      <c r="Q548" s="859"/>
      <c r="R548" s="859"/>
      <c r="S548" s="859"/>
      <c r="T548" s="859"/>
      <c r="U548" s="859"/>
      <c r="V548" s="859"/>
      <c r="W548" s="859"/>
      <c r="X548" s="859"/>
      <c r="Y548" s="859"/>
      <c r="Z548" s="859"/>
      <c r="AA548" s="859"/>
      <c r="AB548" s="859"/>
      <c r="AC548" s="859"/>
      <c r="AD548" s="859"/>
      <c r="AE548" s="869"/>
      <c r="AF548" s="869"/>
      <c r="AG548" s="869"/>
      <c r="AH548" s="869"/>
      <c r="AI548" s="869"/>
      <c r="AJ548" s="869"/>
      <c r="AK548" s="869"/>
      <c r="AL548" s="869"/>
      <c r="AM548" s="869"/>
      <c r="AN548" s="869"/>
      <c r="AO548" s="869"/>
      <c r="AP548" s="869"/>
      <c r="AQ548" s="869"/>
      <c r="AR548" s="869"/>
      <c r="AS548" s="869"/>
      <c r="AT548" s="869"/>
      <c r="AU548" s="869"/>
      <c r="AV548" s="869"/>
      <c r="AW548" s="869"/>
      <c r="AX548" s="869"/>
    </row>
    <row r="549" spans="8:8" customHeight="1">
      <c r="A549" s="859"/>
      <c r="B549" s="859"/>
      <c r="C549" s="859"/>
      <c r="D549" s="859"/>
      <c r="E549" s="975"/>
      <c r="F549" s="859"/>
      <c r="G549" s="859"/>
      <c r="H549" s="859"/>
      <c r="I549" s="859"/>
      <c r="J549" s="859"/>
      <c r="K549" s="859"/>
      <c r="L549" s="859"/>
      <c r="M549" s="859"/>
      <c r="N549" s="859"/>
      <c r="O549" s="859"/>
      <c r="P549" s="859"/>
      <c r="Q549" s="859"/>
      <c r="R549" s="859"/>
      <c r="S549" s="859"/>
      <c r="T549" s="859"/>
      <c r="U549" s="859"/>
      <c r="V549" s="859"/>
      <c r="W549" s="859"/>
      <c r="X549" s="859"/>
      <c r="Y549" s="859"/>
      <c r="Z549" s="859"/>
      <c r="AA549" s="859"/>
      <c r="AB549" s="859"/>
      <c r="AC549" s="859"/>
      <c r="AD549" s="859"/>
      <c r="AE549" s="869"/>
      <c r="AF549" s="869"/>
      <c r="AG549" s="869"/>
      <c r="AH549" s="869"/>
      <c r="AI549" s="869"/>
      <c r="AJ549" s="869"/>
      <c r="AK549" s="869"/>
      <c r="AL549" s="869"/>
      <c r="AM549" s="869"/>
      <c r="AN549" s="869"/>
      <c r="AO549" s="869"/>
      <c r="AP549" s="869"/>
      <c r="AQ549" s="869"/>
      <c r="AR549" s="869"/>
      <c r="AS549" s="869"/>
      <c r="AT549" s="869"/>
      <c r="AU549" s="869"/>
      <c r="AV549" s="869"/>
      <c r="AW549" s="869"/>
      <c r="AX549" s="869"/>
    </row>
    <row r="550" spans="8:8" customHeight="1">
      <c r="A550" s="859"/>
      <c r="B550" s="859"/>
      <c r="C550" s="859"/>
      <c r="D550" s="859"/>
      <c r="E550" s="975"/>
      <c r="F550" s="859"/>
      <c r="G550" s="859"/>
      <c r="H550" s="859"/>
      <c r="I550" s="859"/>
      <c r="J550" s="859"/>
      <c r="K550" s="859"/>
      <c r="L550" s="859"/>
      <c r="M550" s="859"/>
      <c r="N550" s="859"/>
      <c r="O550" s="859"/>
      <c r="P550" s="859"/>
      <c r="Q550" s="859"/>
      <c r="R550" s="859"/>
      <c r="S550" s="859"/>
      <c r="T550" s="859"/>
      <c r="U550" s="859"/>
      <c r="V550" s="859"/>
      <c r="W550" s="859"/>
      <c r="X550" s="859"/>
      <c r="Y550" s="859"/>
      <c r="Z550" s="859"/>
      <c r="AA550" s="859"/>
      <c r="AB550" s="859"/>
      <c r="AC550" s="859"/>
      <c r="AD550" s="859"/>
      <c r="AE550" s="869"/>
      <c r="AF550" s="869"/>
      <c r="AG550" s="869"/>
      <c r="AH550" s="869"/>
      <c r="AI550" s="869"/>
      <c r="AJ550" s="869"/>
      <c r="AK550" s="869"/>
      <c r="AL550" s="869"/>
      <c r="AM550" s="869"/>
      <c r="AN550" s="869"/>
      <c r="AO550" s="869"/>
      <c r="AP550" s="869"/>
      <c r="AQ550" s="869"/>
      <c r="AR550" s="869"/>
      <c r="AS550" s="869"/>
      <c r="AT550" s="869"/>
      <c r="AU550" s="869"/>
      <c r="AV550" s="869"/>
      <c r="AW550" s="869"/>
      <c r="AX550" s="869"/>
    </row>
    <row r="551" spans="8:8" customHeight="1">
      <c r="A551" s="859"/>
      <c r="B551" s="859"/>
      <c r="C551" s="859"/>
      <c r="D551" s="859"/>
      <c r="E551" s="975"/>
      <c r="F551" s="859"/>
      <c r="G551" s="859"/>
      <c r="H551" s="859"/>
      <c r="I551" s="859"/>
      <c r="J551" s="859"/>
      <c r="K551" s="859"/>
      <c r="L551" s="859"/>
      <c r="M551" s="859"/>
      <c r="N551" s="859"/>
      <c r="O551" s="859"/>
      <c r="P551" s="859"/>
      <c r="Q551" s="859"/>
      <c r="R551" s="859"/>
      <c r="S551" s="859"/>
      <c r="T551" s="859"/>
      <c r="U551" s="859"/>
      <c r="V551" s="859"/>
      <c r="W551" s="859"/>
      <c r="X551" s="859"/>
      <c r="Y551" s="859"/>
      <c r="Z551" s="859"/>
      <c r="AA551" s="859"/>
      <c r="AB551" s="859"/>
      <c r="AC551" s="859"/>
      <c r="AD551" s="859"/>
      <c r="AE551" s="869"/>
      <c r="AF551" s="869"/>
      <c r="AG551" s="869"/>
      <c r="AH551" s="869"/>
      <c r="AI551" s="869"/>
      <c r="AJ551" s="869"/>
      <c r="AK551" s="869"/>
      <c r="AL551" s="869"/>
      <c r="AM551" s="869"/>
      <c r="AN551" s="869"/>
      <c r="AO551" s="869"/>
      <c r="AP551" s="869"/>
      <c r="AQ551" s="869"/>
      <c r="AR551" s="869"/>
      <c r="AS551" s="869"/>
      <c r="AT551" s="869"/>
      <c r="AU551" s="869"/>
      <c r="AV551" s="869"/>
      <c r="AW551" s="869"/>
      <c r="AX551" s="869"/>
    </row>
    <row r="552" spans="8:8" customHeight="1">
      <c r="A552" s="859"/>
      <c r="B552" s="859"/>
      <c r="C552" s="859"/>
      <c r="D552" s="859"/>
      <c r="E552" s="975"/>
      <c r="F552" s="859"/>
      <c r="G552" s="859"/>
      <c r="H552" s="859"/>
      <c r="I552" s="859"/>
      <c r="J552" s="859"/>
      <c r="K552" s="859"/>
      <c r="L552" s="859"/>
      <c r="M552" s="859"/>
      <c r="N552" s="859"/>
      <c r="O552" s="859"/>
      <c r="P552" s="859"/>
      <c r="Q552" s="859"/>
      <c r="R552" s="859"/>
      <c r="S552" s="859"/>
      <c r="T552" s="859"/>
      <c r="U552" s="859"/>
      <c r="V552" s="859"/>
      <c r="W552" s="859"/>
      <c r="X552" s="859"/>
      <c r="Y552" s="859"/>
      <c r="Z552" s="859"/>
      <c r="AA552" s="859"/>
      <c r="AB552" s="859"/>
      <c r="AC552" s="859"/>
      <c r="AD552" s="859"/>
      <c r="AE552" s="869"/>
      <c r="AF552" s="869"/>
      <c r="AG552" s="869"/>
      <c r="AH552" s="869"/>
      <c r="AI552" s="869"/>
      <c r="AJ552" s="869"/>
      <c r="AK552" s="869"/>
      <c r="AL552" s="869"/>
      <c r="AM552" s="869"/>
      <c r="AN552" s="869"/>
      <c r="AO552" s="869"/>
      <c r="AP552" s="869"/>
      <c r="AQ552" s="869"/>
      <c r="AR552" s="869"/>
      <c r="AS552" s="869"/>
      <c r="AT552" s="869"/>
      <c r="AU552" s="869"/>
      <c r="AV552" s="869"/>
      <c r="AW552" s="869"/>
      <c r="AX552" s="869"/>
    </row>
    <row r="553" spans="8:8" customHeight="1">
      <c r="A553" s="859"/>
      <c r="B553" s="859"/>
      <c r="C553" s="859"/>
      <c r="D553" s="859"/>
      <c r="E553" s="975"/>
      <c r="F553" s="859"/>
      <c r="G553" s="859"/>
      <c r="H553" s="859"/>
      <c r="I553" s="859"/>
      <c r="J553" s="859"/>
      <c r="K553" s="859"/>
      <c r="L553" s="859"/>
      <c r="M553" s="859"/>
      <c r="N553" s="859"/>
      <c r="O553" s="859"/>
      <c r="P553" s="859"/>
      <c r="Q553" s="859"/>
      <c r="R553" s="859"/>
      <c r="S553" s="859"/>
      <c r="T553" s="859"/>
      <c r="U553" s="859"/>
      <c r="V553" s="859"/>
      <c r="W553" s="859"/>
      <c r="X553" s="859"/>
      <c r="Y553" s="859"/>
      <c r="Z553" s="859"/>
      <c r="AA553" s="859"/>
      <c r="AB553" s="859"/>
      <c r="AC553" s="859"/>
      <c r="AD553" s="859"/>
      <c r="AE553" s="869"/>
      <c r="AF553" s="869"/>
      <c r="AG553" s="869"/>
      <c r="AH553" s="869"/>
      <c r="AI553" s="869"/>
      <c r="AJ553" s="869"/>
      <c r="AK553" s="869"/>
      <c r="AL553" s="869"/>
      <c r="AM553" s="869"/>
      <c r="AN553" s="869"/>
      <c r="AO553" s="869"/>
      <c r="AP553" s="869"/>
      <c r="AQ553" s="869"/>
      <c r="AR553" s="869"/>
      <c r="AS553" s="869"/>
      <c r="AT553" s="869"/>
      <c r="AU553" s="869"/>
      <c r="AV553" s="869"/>
      <c r="AW553" s="869"/>
      <c r="AX553" s="869"/>
    </row>
    <row r="554" spans="8:8" customHeight="1">
      <c r="A554" s="859"/>
      <c r="B554" s="859"/>
      <c r="C554" s="859"/>
      <c r="D554" s="859"/>
      <c r="E554" s="975"/>
      <c r="F554" s="859"/>
      <c r="G554" s="859"/>
      <c r="H554" s="859"/>
      <c r="I554" s="859"/>
      <c r="J554" s="859"/>
      <c r="K554" s="859"/>
      <c r="L554" s="859"/>
      <c r="M554" s="859"/>
      <c r="N554" s="859"/>
      <c r="O554" s="859"/>
      <c r="P554" s="859"/>
      <c r="Q554" s="859"/>
      <c r="R554" s="859"/>
      <c r="S554" s="859"/>
      <c r="T554" s="859"/>
      <c r="U554" s="859"/>
      <c r="V554" s="859"/>
      <c r="W554" s="859"/>
      <c r="X554" s="859"/>
      <c r="Y554" s="859"/>
      <c r="Z554" s="859"/>
      <c r="AA554" s="859"/>
      <c r="AB554" s="859"/>
      <c r="AC554" s="859"/>
      <c r="AD554" s="859"/>
      <c r="AE554" s="869"/>
      <c r="AF554" s="869"/>
      <c r="AG554" s="869"/>
      <c r="AH554" s="869"/>
      <c r="AI554" s="869"/>
      <c r="AJ554" s="869"/>
      <c r="AK554" s="869"/>
      <c r="AL554" s="869"/>
      <c r="AM554" s="869"/>
      <c r="AN554" s="869"/>
      <c r="AO554" s="869"/>
      <c r="AP554" s="869"/>
      <c r="AQ554" s="869"/>
      <c r="AR554" s="869"/>
      <c r="AS554" s="869"/>
      <c r="AT554" s="869"/>
      <c r="AU554" s="869"/>
      <c r="AV554" s="869"/>
      <c r="AW554" s="869"/>
      <c r="AX554" s="869"/>
    </row>
    <row r="555" spans="8:8" customHeight="1">
      <c r="A555" s="859"/>
      <c r="B555" s="859"/>
      <c r="C555" s="859"/>
      <c r="D555" s="859"/>
      <c r="E555" s="975"/>
      <c r="F555" s="859"/>
      <c r="G555" s="859"/>
      <c r="H555" s="859"/>
      <c r="I555" s="859"/>
      <c r="J555" s="859"/>
      <c r="K555" s="859"/>
      <c r="L555" s="859"/>
      <c r="M555" s="859"/>
      <c r="N555" s="859"/>
      <c r="O555" s="859"/>
      <c r="P555" s="859"/>
      <c r="Q555" s="859"/>
      <c r="R555" s="859"/>
      <c r="S555" s="859"/>
      <c r="T555" s="859"/>
      <c r="U555" s="859"/>
      <c r="V555" s="859"/>
      <c r="W555" s="859"/>
      <c r="X555" s="859"/>
      <c r="Y555" s="859"/>
      <c r="Z555" s="859"/>
      <c r="AA555" s="859"/>
      <c r="AB555" s="859"/>
      <c r="AC555" s="859"/>
      <c r="AD555" s="859"/>
      <c r="AE555" s="869"/>
      <c r="AF555" s="869"/>
      <c r="AG555" s="869"/>
      <c r="AH555" s="869"/>
      <c r="AI555" s="869"/>
      <c r="AJ555" s="869"/>
      <c r="AK555" s="869"/>
      <c r="AL555" s="869"/>
      <c r="AM555" s="869"/>
      <c r="AN555" s="869"/>
      <c r="AO555" s="869"/>
      <c r="AP555" s="869"/>
      <c r="AQ555" s="869"/>
      <c r="AR555" s="869"/>
      <c r="AS555" s="869"/>
      <c r="AT555" s="869"/>
      <c r="AU555" s="869"/>
      <c r="AV555" s="869"/>
      <c r="AW555" s="869"/>
      <c r="AX555" s="869"/>
    </row>
    <row r="556" spans="8:8" customHeight="1">
      <c r="A556" s="859"/>
      <c r="B556" s="859"/>
      <c r="C556" s="859"/>
      <c r="D556" s="859"/>
      <c r="E556" s="975"/>
      <c r="F556" s="859"/>
      <c r="G556" s="859"/>
      <c r="H556" s="859"/>
      <c r="I556" s="859"/>
      <c r="J556" s="859"/>
      <c r="K556" s="859"/>
      <c r="L556" s="859"/>
      <c r="M556" s="859"/>
      <c r="N556" s="859"/>
      <c r="O556" s="859"/>
      <c r="P556" s="859"/>
      <c r="Q556" s="859"/>
      <c r="R556" s="859"/>
      <c r="S556" s="859"/>
      <c r="T556" s="859"/>
      <c r="U556" s="859"/>
      <c r="V556" s="859"/>
      <c r="W556" s="859"/>
      <c r="X556" s="859"/>
      <c r="Y556" s="859"/>
      <c r="Z556" s="859"/>
      <c r="AA556" s="859"/>
      <c r="AB556" s="859"/>
      <c r="AC556" s="859"/>
      <c r="AD556" s="859"/>
      <c r="AE556" s="869"/>
      <c r="AF556" s="869"/>
      <c r="AG556" s="869"/>
      <c r="AH556" s="869"/>
      <c r="AI556" s="869"/>
      <c r="AJ556" s="869"/>
      <c r="AK556" s="869"/>
      <c r="AL556" s="869"/>
      <c r="AM556" s="869"/>
      <c r="AN556" s="869"/>
      <c r="AO556" s="869"/>
      <c r="AP556" s="869"/>
      <c r="AQ556" s="869"/>
      <c r="AR556" s="869"/>
      <c r="AS556" s="869"/>
      <c r="AT556" s="869"/>
      <c r="AU556" s="869"/>
      <c r="AV556" s="869"/>
      <c r="AW556" s="869"/>
      <c r="AX556" s="869"/>
    </row>
    <row r="557" spans="8:8" customHeight="1">
      <c r="A557" s="859"/>
      <c r="B557" s="859"/>
      <c r="C557" s="859"/>
      <c r="D557" s="859"/>
      <c r="E557" s="975"/>
      <c r="F557" s="859"/>
      <c r="G557" s="859"/>
      <c r="H557" s="859"/>
      <c r="I557" s="859"/>
      <c r="J557" s="859"/>
      <c r="K557" s="859"/>
      <c r="L557" s="859"/>
      <c r="M557" s="859"/>
      <c r="N557" s="859"/>
      <c r="O557" s="859"/>
      <c r="P557" s="859"/>
      <c r="Q557" s="859"/>
      <c r="R557" s="859"/>
      <c r="S557" s="859"/>
      <c r="T557" s="859"/>
      <c r="U557" s="859"/>
      <c r="V557" s="859"/>
      <c r="W557" s="859"/>
      <c r="X557" s="859"/>
      <c r="Y557" s="859"/>
      <c r="Z557" s="859"/>
      <c r="AA557" s="859"/>
      <c r="AB557" s="859"/>
      <c r="AC557" s="859"/>
      <c r="AD557" s="859"/>
      <c r="AE557" s="869"/>
      <c r="AF557" s="869"/>
      <c r="AG557" s="869"/>
      <c r="AH557" s="869"/>
      <c r="AI557" s="869"/>
      <c r="AJ557" s="869"/>
      <c r="AK557" s="869"/>
      <c r="AL557" s="869"/>
      <c r="AM557" s="869"/>
      <c r="AN557" s="869"/>
      <c r="AO557" s="869"/>
      <c r="AP557" s="869"/>
      <c r="AQ557" s="869"/>
      <c r="AR557" s="869"/>
      <c r="AS557" s="869"/>
      <c r="AT557" s="869"/>
      <c r="AU557" s="869"/>
      <c r="AV557" s="869"/>
      <c r="AW557" s="869"/>
      <c r="AX557" s="869"/>
    </row>
    <row r="558" spans="8:8" customHeight="1">
      <c r="A558" s="859"/>
      <c r="B558" s="859"/>
      <c r="C558" s="859"/>
      <c r="D558" s="859"/>
      <c r="E558" s="975"/>
      <c r="F558" s="859"/>
      <c r="G558" s="859"/>
      <c r="H558" s="859"/>
      <c r="I558" s="859"/>
      <c r="J558" s="859"/>
      <c r="K558" s="859"/>
      <c r="L558" s="859"/>
      <c r="M558" s="859"/>
      <c r="N558" s="859"/>
      <c r="O558" s="859"/>
      <c r="P558" s="859"/>
      <c r="Q558" s="859"/>
      <c r="R558" s="859"/>
      <c r="S558" s="859"/>
      <c r="T558" s="859"/>
      <c r="U558" s="859"/>
      <c r="V558" s="859"/>
      <c r="W558" s="859"/>
      <c r="X558" s="859"/>
      <c r="Y558" s="859"/>
      <c r="Z558" s="859"/>
      <c r="AA558" s="859"/>
      <c r="AB558" s="859"/>
      <c r="AC558" s="859"/>
      <c r="AD558" s="859"/>
      <c r="AE558" s="869"/>
      <c r="AF558" s="869"/>
      <c r="AG558" s="869"/>
      <c r="AH558" s="869"/>
      <c r="AI558" s="869"/>
      <c r="AJ558" s="869"/>
      <c r="AK558" s="869"/>
      <c r="AL558" s="869"/>
      <c r="AM558" s="869"/>
      <c r="AN558" s="869"/>
      <c r="AO558" s="869"/>
      <c r="AP558" s="869"/>
      <c r="AQ558" s="869"/>
      <c r="AR558" s="869"/>
      <c r="AS558" s="869"/>
      <c r="AT558" s="869"/>
      <c r="AU558" s="869"/>
      <c r="AV558" s="869"/>
      <c r="AW558" s="869"/>
      <c r="AX558" s="869"/>
    </row>
    <row r="559" spans="8:8" customHeight="1">
      <c r="A559" s="859"/>
      <c r="B559" s="859"/>
      <c r="C559" s="859"/>
      <c r="D559" s="859"/>
      <c r="E559" s="975"/>
      <c r="F559" s="859"/>
      <c r="G559" s="859"/>
      <c r="H559" s="859"/>
      <c r="I559" s="859"/>
      <c r="J559" s="859"/>
      <c r="K559" s="859"/>
      <c r="L559" s="859"/>
      <c r="M559" s="859"/>
      <c r="N559" s="859"/>
      <c r="O559" s="859"/>
      <c r="P559" s="859"/>
      <c r="Q559" s="859"/>
      <c r="R559" s="859"/>
      <c r="S559" s="859"/>
      <c r="T559" s="859"/>
      <c r="U559" s="859"/>
      <c r="V559" s="859"/>
      <c r="W559" s="859"/>
      <c r="X559" s="859"/>
      <c r="Y559" s="859"/>
      <c r="Z559" s="859"/>
      <c r="AA559" s="859"/>
      <c r="AB559" s="859"/>
      <c r="AC559" s="859"/>
      <c r="AD559" s="859"/>
      <c r="AE559" s="869"/>
      <c r="AF559" s="869"/>
      <c r="AG559" s="869"/>
      <c r="AH559" s="869"/>
      <c r="AI559" s="869"/>
      <c r="AJ559" s="869"/>
      <c r="AK559" s="869"/>
      <c r="AL559" s="869"/>
      <c r="AM559" s="869"/>
      <c r="AN559" s="869"/>
      <c r="AO559" s="869"/>
      <c r="AP559" s="869"/>
      <c r="AQ559" s="869"/>
      <c r="AR559" s="869"/>
      <c r="AS559" s="869"/>
      <c r="AT559" s="869"/>
      <c r="AU559" s="869"/>
      <c r="AV559" s="869"/>
      <c r="AW559" s="869"/>
      <c r="AX559" s="869"/>
    </row>
    <row r="560" spans="8:8" customHeight="1">
      <c r="A560" s="859"/>
      <c r="B560" s="859"/>
      <c r="C560" s="859"/>
      <c r="D560" s="859"/>
      <c r="E560" s="975"/>
      <c r="F560" s="859"/>
      <c r="G560" s="859"/>
      <c r="H560" s="859"/>
      <c r="I560" s="859"/>
      <c r="J560" s="859"/>
      <c r="K560" s="859"/>
      <c r="L560" s="859"/>
      <c r="M560" s="859"/>
      <c r="N560" s="859"/>
      <c r="O560" s="859"/>
      <c r="P560" s="859"/>
      <c r="Q560" s="859"/>
      <c r="R560" s="859"/>
      <c r="S560" s="859"/>
      <c r="T560" s="859"/>
      <c r="U560" s="859"/>
      <c r="V560" s="859"/>
      <c r="W560" s="859"/>
      <c r="X560" s="859"/>
      <c r="Y560" s="859"/>
      <c r="Z560" s="859"/>
      <c r="AA560" s="859"/>
      <c r="AB560" s="859"/>
      <c r="AC560" s="859"/>
      <c r="AD560" s="859"/>
      <c r="AE560" s="869"/>
      <c r="AF560" s="869"/>
      <c r="AG560" s="869"/>
      <c r="AH560" s="869"/>
      <c r="AI560" s="869"/>
      <c r="AJ560" s="869"/>
      <c r="AK560" s="869"/>
      <c r="AL560" s="869"/>
      <c r="AM560" s="869"/>
      <c r="AN560" s="869"/>
      <c r="AO560" s="869"/>
      <c r="AP560" s="869"/>
      <c r="AQ560" s="869"/>
      <c r="AR560" s="869"/>
      <c r="AS560" s="869"/>
      <c r="AT560" s="869"/>
      <c r="AU560" s="869"/>
      <c r="AV560" s="869"/>
      <c r="AW560" s="869"/>
      <c r="AX560" s="869"/>
    </row>
    <row r="561" spans="8:8" customHeight="1">
      <c r="A561" s="859"/>
      <c r="B561" s="859"/>
      <c r="C561" s="859"/>
      <c r="D561" s="859"/>
      <c r="E561" s="975"/>
      <c r="F561" s="859"/>
      <c r="G561" s="859"/>
      <c r="H561" s="859"/>
      <c r="I561" s="859"/>
      <c r="J561" s="859"/>
      <c r="K561" s="859"/>
      <c r="L561" s="859"/>
      <c r="M561" s="859"/>
      <c r="N561" s="859"/>
      <c r="O561" s="859"/>
      <c r="P561" s="859"/>
      <c r="Q561" s="859"/>
      <c r="R561" s="859"/>
      <c r="S561" s="859"/>
      <c r="T561" s="859"/>
      <c r="U561" s="859"/>
      <c r="V561" s="859"/>
      <c r="W561" s="859"/>
      <c r="X561" s="859"/>
      <c r="Y561" s="859"/>
      <c r="Z561" s="859"/>
      <c r="AA561" s="859"/>
      <c r="AB561" s="859"/>
      <c r="AC561" s="859"/>
      <c r="AD561" s="859"/>
      <c r="AE561" s="869"/>
      <c r="AF561" s="869"/>
      <c r="AG561" s="869"/>
      <c r="AH561" s="869"/>
      <c r="AI561" s="869"/>
      <c r="AJ561" s="869"/>
      <c r="AK561" s="869"/>
      <c r="AL561" s="869"/>
      <c r="AM561" s="869"/>
      <c r="AN561" s="869"/>
      <c r="AO561" s="869"/>
      <c r="AP561" s="869"/>
      <c r="AQ561" s="869"/>
      <c r="AR561" s="869"/>
      <c r="AS561" s="869"/>
      <c r="AT561" s="869"/>
      <c r="AU561" s="869"/>
      <c r="AV561" s="869"/>
      <c r="AW561" s="869"/>
      <c r="AX561" s="869"/>
    </row>
    <row r="562" spans="8:8" customHeight="1">
      <c r="A562" s="859"/>
      <c r="B562" s="859"/>
      <c r="C562" s="859"/>
      <c r="D562" s="859"/>
      <c r="E562" s="975"/>
      <c r="F562" s="859"/>
      <c r="G562" s="859"/>
      <c r="H562" s="859"/>
      <c r="I562" s="859"/>
      <c r="J562" s="859"/>
      <c r="K562" s="859"/>
      <c r="L562" s="859"/>
      <c r="M562" s="859"/>
      <c r="N562" s="859"/>
      <c r="O562" s="859"/>
      <c r="P562" s="859"/>
      <c r="Q562" s="859"/>
      <c r="R562" s="859"/>
      <c r="S562" s="859"/>
      <c r="T562" s="859"/>
      <c r="U562" s="859"/>
      <c r="V562" s="859"/>
      <c r="W562" s="859"/>
      <c r="X562" s="859"/>
      <c r="Y562" s="859"/>
      <c r="Z562" s="859"/>
      <c r="AA562" s="859"/>
      <c r="AB562" s="859"/>
      <c r="AC562" s="859"/>
      <c r="AD562" s="859"/>
      <c r="AE562" s="869"/>
      <c r="AF562" s="869"/>
      <c r="AG562" s="869"/>
      <c r="AH562" s="869"/>
      <c r="AI562" s="869"/>
      <c r="AJ562" s="869"/>
      <c r="AK562" s="869"/>
      <c r="AL562" s="869"/>
      <c r="AM562" s="869"/>
      <c r="AN562" s="869"/>
      <c r="AO562" s="869"/>
      <c r="AP562" s="869"/>
      <c r="AQ562" s="869"/>
      <c r="AR562" s="869"/>
      <c r="AS562" s="869"/>
      <c r="AT562" s="869"/>
      <c r="AU562" s="869"/>
      <c r="AV562" s="869"/>
      <c r="AW562" s="869"/>
      <c r="AX562" s="869"/>
    </row>
    <row r="563" spans="8:8" customHeight="1">
      <c r="A563" s="859"/>
      <c r="B563" s="859"/>
      <c r="C563" s="859"/>
      <c r="D563" s="859"/>
      <c r="E563" s="975"/>
      <c r="F563" s="859"/>
      <c r="G563" s="859"/>
      <c r="H563" s="859"/>
      <c r="I563" s="859"/>
      <c r="J563" s="859"/>
      <c r="K563" s="859"/>
      <c r="L563" s="859"/>
      <c r="M563" s="859"/>
      <c r="N563" s="859"/>
      <c r="O563" s="859"/>
      <c r="P563" s="859"/>
      <c r="Q563" s="859"/>
      <c r="R563" s="859"/>
      <c r="S563" s="859"/>
      <c r="T563" s="859"/>
      <c r="U563" s="859"/>
      <c r="V563" s="859"/>
      <c r="W563" s="859"/>
      <c r="X563" s="859"/>
      <c r="Y563" s="859"/>
      <c r="Z563" s="859"/>
      <c r="AA563" s="859"/>
      <c r="AB563" s="859"/>
      <c r="AC563" s="859"/>
      <c r="AD563" s="859"/>
      <c r="AE563" s="869"/>
      <c r="AF563" s="869"/>
      <c r="AG563" s="869"/>
      <c r="AH563" s="869"/>
      <c r="AI563" s="869"/>
      <c r="AJ563" s="869"/>
      <c r="AK563" s="869"/>
      <c r="AL563" s="869"/>
      <c r="AM563" s="869"/>
      <c r="AN563" s="869"/>
      <c r="AO563" s="869"/>
      <c r="AP563" s="869"/>
      <c r="AQ563" s="869"/>
      <c r="AR563" s="869"/>
      <c r="AS563" s="869"/>
      <c r="AT563" s="869"/>
      <c r="AU563" s="869"/>
      <c r="AV563" s="869"/>
      <c r="AW563" s="869"/>
      <c r="AX563" s="869"/>
    </row>
    <row r="564" spans="8:8" customHeight="1">
      <c r="A564" s="859"/>
      <c r="B564" s="859"/>
      <c r="C564" s="859"/>
      <c r="D564" s="859"/>
      <c r="E564" s="975"/>
      <c r="F564" s="859"/>
      <c r="G564" s="859"/>
      <c r="H564" s="859"/>
      <c r="I564" s="859"/>
      <c r="J564" s="859"/>
      <c r="K564" s="859"/>
      <c r="L564" s="859"/>
      <c r="M564" s="859"/>
      <c r="N564" s="859"/>
      <c r="O564" s="859"/>
      <c r="P564" s="859"/>
      <c r="Q564" s="859"/>
      <c r="R564" s="859"/>
      <c r="S564" s="859"/>
      <c r="T564" s="859"/>
      <c r="U564" s="859"/>
      <c r="V564" s="859"/>
      <c r="W564" s="859"/>
      <c r="X564" s="859"/>
      <c r="Y564" s="859"/>
      <c r="Z564" s="859"/>
      <c r="AA564" s="859"/>
      <c r="AB564" s="859"/>
      <c r="AC564" s="859"/>
      <c r="AD564" s="859"/>
      <c r="AE564" s="869"/>
      <c r="AF564" s="869"/>
      <c r="AG564" s="869"/>
      <c r="AH564" s="869"/>
      <c r="AI564" s="869"/>
      <c r="AJ564" s="869"/>
      <c r="AK564" s="869"/>
      <c r="AL564" s="869"/>
      <c r="AM564" s="869"/>
      <c r="AN564" s="869"/>
      <c r="AO564" s="869"/>
      <c r="AP564" s="869"/>
      <c r="AQ564" s="869"/>
      <c r="AR564" s="869"/>
      <c r="AS564" s="869"/>
      <c r="AT564" s="869"/>
      <c r="AU564" s="869"/>
      <c r="AV564" s="869"/>
      <c r="AW564" s="869"/>
      <c r="AX564" s="869"/>
    </row>
    <row r="565" spans="8:8" customHeight="1">
      <c r="A565" s="859"/>
      <c r="B565" s="859"/>
      <c r="C565" s="859"/>
      <c r="D565" s="859"/>
      <c r="E565" s="975"/>
      <c r="F565" s="859"/>
      <c r="G565" s="859"/>
      <c r="H565" s="859"/>
      <c r="I565" s="859"/>
      <c r="J565" s="859"/>
      <c r="K565" s="859"/>
      <c r="L565" s="859"/>
      <c r="M565" s="859"/>
      <c r="N565" s="859"/>
      <c r="O565" s="859"/>
      <c r="P565" s="859"/>
      <c r="Q565" s="859"/>
      <c r="R565" s="859"/>
      <c r="S565" s="859"/>
      <c r="T565" s="859"/>
      <c r="U565" s="859"/>
      <c r="V565" s="859"/>
      <c r="W565" s="859"/>
      <c r="X565" s="859"/>
      <c r="Y565" s="859"/>
      <c r="Z565" s="859"/>
      <c r="AA565" s="859"/>
      <c r="AB565" s="859"/>
      <c r="AC565" s="859"/>
      <c r="AD565" s="859"/>
      <c r="AE565" s="869"/>
      <c r="AF565" s="869"/>
      <c r="AG565" s="869"/>
      <c r="AH565" s="869"/>
      <c r="AI565" s="869"/>
      <c r="AJ565" s="869"/>
      <c r="AK565" s="869"/>
      <c r="AL565" s="869"/>
      <c r="AM565" s="869"/>
      <c r="AN565" s="869"/>
      <c r="AO565" s="869"/>
      <c r="AP565" s="869"/>
      <c r="AQ565" s="869"/>
      <c r="AR565" s="869"/>
      <c r="AS565" s="869"/>
      <c r="AT565" s="869"/>
      <c r="AU565" s="869"/>
      <c r="AV565" s="869"/>
      <c r="AW565" s="869"/>
      <c r="AX565" s="869"/>
    </row>
    <row r="566" spans="8:8" customHeight="1">
      <c r="A566" s="859"/>
      <c r="B566" s="859"/>
      <c r="C566" s="859"/>
      <c r="D566" s="859"/>
      <c r="E566" s="975"/>
      <c r="F566" s="859"/>
      <c r="G566" s="859"/>
      <c r="H566" s="859"/>
      <c r="I566" s="859"/>
      <c r="J566" s="859"/>
      <c r="K566" s="859"/>
      <c r="L566" s="859"/>
      <c r="M566" s="859"/>
      <c r="N566" s="859"/>
      <c r="O566" s="859"/>
      <c r="P566" s="859"/>
      <c r="Q566" s="859"/>
      <c r="R566" s="859"/>
      <c r="S566" s="859"/>
      <c r="T566" s="859"/>
      <c r="U566" s="859"/>
      <c r="V566" s="859"/>
      <c r="W566" s="859"/>
      <c r="X566" s="859"/>
      <c r="Y566" s="859"/>
      <c r="Z566" s="859"/>
      <c r="AA566" s="859"/>
      <c r="AB566" s="859"/>
      <c r="AC566" s="859"/>
      <c r="AD566" s="859"/>
      <c r="AE566" s="869"/>
      <c r="AF566" s="869"/>
      <c r="AG566" s="869"/>
      <c r="AH566" s="869"/>
      <c r="AI566" s="869"/>
      <c r="AJ566" s="869"/>
      <c r="AK566" s="869"/>
      <c r="AL566" s="869"/>
      <c r="AM566" s="869"/>
      <c r="AN566" s="869"/>
      <c r="AO566" s="869"/>
      <c r="AP566" s="869"/>
      <c r="AQ566" s="869"/>
      <c r="AR566" s="869"/>
      <c r="AS566" s="869"/>
      <c r="AT566" s="869"/>
      <c r="AU566" s="869"/>
      <c r="AV566" s="869"/>
      <c r="AW566" s="869"/>
      <c r="AX566" s="869"/>
    </row>
    <row r="567" spans="8:8" customHeight="1">
      <c r="A567" s="859"/>
      <c r="B567" s="859"/>
      <c r="C567" s="859"/>
      <c r="D567" s="859"/>
      <c r="E567" s="975"/>
      <c r="F567" s="859"/>
      <c r="G567" s="859"/>
      <c r="H567" s="859"/>
      <c r="I567" s="859"/>
      <c r="J567" s="859"/>
      <c r="K567" s="859"/>
      <c r="L567" s="859"/>
      <c r="M567" s="859"/>
      <c r="N567" s="859"/>
      <c r="O567" s="859"/>
      <c r="P567" s="859"/>
      <c r="Q567" s="859"/>
      <c r="R567" s="859"/>
      <c r="S567" s="859"/>
      <c r="T567" s="859"/>
      <c r="U567" s="859"/>
      <c r="V567" s="859"/>
      <c r="W567" s="859"/>
      <c r="X567" s="859"/>
      <c r="Y567" s="859"/>
      <c r="Z567" s="859"/>
      <c r="AA567" s="859"/>
      <c r="AB567" s="859"/>
      <c r="AC567" s="859"/>
      <c r="AD567" s="859"/>
      <c r="AE567" s="869"/>
      <c r="AF567" s="869"/>
      <c r="AG567" s="869"/>
      <c r="AH567" s="869"/>
      <c r="AI567" s="869"/>
      <c r="AJ567" s="869"/>
      <c r="AK567" s="869"/>
      <c r="AL567" s="869"/>
      <c r="AM567" s="869"/>
      <c r="AN567" s="869"/>
      <c r="AO567" s="869"/>
      <c r="AP567" s="869"/>
      <c r="AQ567" s="869"/>
      <c r="AR567" s="869"/>
      <c r="AS567" s="869"/>
      <c r="AT567" s="869"/>
      <c r="AU567" s="869"/>
      <c r="AV567" s="869"/>
      <c r="AW567" s="869"/>
      <c r="AX567" s="869"/>
    </row>
    <row r="568" spans="8:8" customHeight="1">
      <c r="A568" s="859"/>
      <c r="B568" s="859"/>
      <c r="C568" s="859"/>
      <c r="D568" s="859"/>
      <c r="E568" s="975"/>
      <c r="F568" s="859"/>
      <c r="G568" s="859"/>
      <c r="H568" s="859"/>
      <c r="I568" s="859"/>
      <c r="J568" s="859"/>
      <c r="K568" s="859"/>
      <c r="L568" s="859"/>
      <c r="M568" s="859"/>
      <c r="N568" s="859"/>
      <c r="O568" s="859"/>
      <c r="P568" s="859"/>
      <c r="Q568" s="859"/>
      <c r="R568" s="859"/>
      <c r="S568" s="859"/>
      <c r="T568" s="859"/>
      <c r="U568" s="859"/>
      <c r="V568" s="859"/>
      <c r="W568" s="859"/>
      <c r="X568" s="859"/>
      <c r="Y568" s="859"/>
      <c r="Z568" s="859"/>
      <c r="AA568" s="859"/>
      <c r="AB568" s="859"/>
      <c r="AC568" s="859"/>
      <c r="AD568" s="859"/>
      <c r="AE568" s="869"/>
      <c r="AF568" s="869"/>
      <c r="AG568" s="869"/>
      <c r="AH568" s="869"/>
      <c r="AI568" s="869"/>
      <c r="AJ568" s="869"/>
      <c r="AK568" s="869"/>
      <c r="AL568" s="869"/>
      <c r="AM568" s="869"/>
      <c r="AN568" s="869"/>
      <c r="AO568" s="869"/>
      <c r="AP568" s="869"/>
      <c r="AQ568" s="869"/>
      <c r="AR568" s="869"/>
      <c r="AS568" s="869"/>
      <c r="AT568" s="869"/>
      <c r="AU568" s="869"/>
      <c r="AV568" s="869"/>
      <c r="AW568" s="869"/>
      <c r="AX568" s="869"/>
    </row>
    <row r="569" spans="8:8" customHeight="1">
      <c r="A569" s="859"/>
      <c r="B569" s="859"/>
      <c r="C569" s="859"/>
      <c r="D569" s="859"/>
      <c r="E569" s="975"/>
      <c r="F569" s="859"/>
      <c r="G569" s="859"/>
      <c r="H569" s="859"/>
      <c r="I569" s="859"/>
      <c r="J569" s="859"/>
      <c r="K569" s="859"/>
      <c r="L569" s="859"/>
      <c r="M569" s="859"/>
      <c r="N569" s="859"/>
      <c r="O569" s="859"/>
      <c r="P569" s="859"/>
      <c r="Q569" s="859"/>
      <c r="R569" s="859"/>
      <c r="S569" s="859"/>
      <c r="T569" s="859"/>
      <c r="U569" s="859"/>
      <c r="V569" s="859"/>
      <c r="W569" s="859"/>
      <c r="X569" s="859"/>
      <c r="Y569" s="859"/>
      <c r="Z569" s="859"/>
      <c r="AA569" s="859"/>
      <c r="AB569" s="859"/>
      <c r="AC569" s="859"/>
      <c r="AD569" s="859"/>
      <c r="AE569" s="869"/>
      <c r="AF569" s="869"/>
      <c r="AG569" s="869"/>
      <c r="AH569" s="869"/>
      <c r="AI569" s="869"/>
      <c r="AJ569" s="869"/>
      <c r="AK569" s="869"/>
      <c r="AL569" s="869"/>
      <c r="AM569" s="869"/>
      <c r="AN569" s="869"/>
      <c r="AO569" s="869"/>
      <c r="AP569" s="869"/>
      <c r="AQ569" s="869"/>
      <c r="AR569" s="869"/>
      <c r="AS569" s="869"/>
      <c r="AT569" s="869"/>
      <c r="AU569" s="869"/>
      <c r="AV569" s="869"/>
      <c r="AW569" s="869"/>
      <c r="AX569" s="869"/>
    </row>
    <row r="570" spans="8:8" customHeight="1">
      <c r="A570" s="859"/>
      <c r="B570" s="859"/>
      <c r="C570" s="859"/>
      <c r="D570" s="859"/>
      <c r="E570" s="975"/>
      <c r="F570" s="859"/>
      <c r="G570" s="859"/>
      <c r="H570" s="859"/>
      <c r="I570" s="859"/>
      <c r="J570" s="859"/>
      <c r="K570" s="859"/>
      <c r="L570" s="859"/>
      <c r="M570" s="859"/>
      <c r="N570" s="859"/>
      <c r="O570" s="859"/>
      <c r="P570" s="859"/>
      <c r="Q570" s="859"/>
      <c r="R570" s="859"/>
      <c r="S570" s="859"/>
      <c r="T570" s="859"/>
      <c r="U570" s="859"/>
      <c r="V570" s="859"/>
      <c r="W570" s="859"/>
      <c r="X570" s="859"/>
      <c r="Y570" s="859"/>
      <c r="Z570" s="859"/>
      <c r="AA570" s="859"/>
      <c r="AB570" s="859"/>
      <c r="AC570" s="859"/>
      <c r="AD570" s="859"/>
      <c r="AE570" s="869"/>
      <c r="AF570" s="869"/>
      <c r="AG570" s="869"/>
      <c r="AH570" s="869"/>
      <c r="AI570" s="869"/>
      <c r="AJ570" s="869"/>
      <c r="AK570" s="869"/>
      <c r="AL570" s="869"/>
      <c r="AM570" s="869"/>
      <c r="AN570" s="869"/>
      <c r="AO570" s="869"/>
      <c r="AP570" s="869"/>
      <c r="AQ570" s="869"/>
      <c r="AR570" s="869"/>
      <c r="AS570" s="869"/>
      <c r="AT570" s="869"/>
      <c r="AU570" s="869"/>
      <c r="AV570" s="869"/>
      <c r="AW570" s="869"/>
      <c r="AX570" s="869"/>
    </row>
    <row r="571" spans="8:8" customHeight="1">
      <c r="A571" s="859"/>
      <c r="B571" s="859"/>
      <c r="C571" s="859"/>
      <c r="D571" s="859"/>
      <c r="E571" s="975"/>
      <c r="F571" s="859"/>
      <c r="G571" s="859"/>
      <c r="H571" s="859"/>
      <c r="I571" s="859"/>
      <c r="J571" s="859"/>
      <c r="K571" s="859"/>
      <c r="L571" s="859"/>
      <c r="M571" s="859"/>
      <c r="N571" s="859"/>
      <c r="O571" s="859"/>
      <c r="P571" s="859"/>
      <c r="Q571" s="859"/>
      <c r="R571" s="859"/>
      <c r="S571" s="859"/>
      <c r="T571" s="859"/>
      <c r="U571" s="859"/>
      <c r="V571" s="859"/>
      <c r="W571" s="859"/>
      <c r="X571" s="859"/>
      <c r="Y571" s="859"/>
      <c r="Z571" s="859"/>
      <c r="AA571" s="859"/>
      <c r="AB571" s="859"/>
      <c r="AC571" s="859"/>
      <c r="AD571" s="859"/>
      <c r="AE571" s="869"/>
      <c r="AF571" s="869"/>
      <c r="AG571" s="869"/>
      <c r="AH571" s="869"/>
      <c r="AI571" s="869"/>
      <c r="AJ571" s="869"/>
      <c r="AK571" s="869"/>
      <c r="AL571" s="869"/>
      <c r="AM571" s="869"/>
      <c r="AN571" s="869"/>
      <c r="AO571" s="869"/>
      <c r="AP571" s="869"/>
      <c r="AQ571" s="869"/>
      <c r="AR571" s="869"/>
      <c r="AS571" s="869"/>
      <c r="AT571" s="869"/>
      <c r="AU571" s="869"/>
      <c r="AV571" s="869"/>
      <c r="AW571" s="869"/>
      <c r="AX571" s="869"/>
    </row>
    <row r="572" spans="8:8" customHeight="1">
      <c r="A572" s="859"/>
      <c r="B572" s="859"/>
      <c r="C572" s="859"/>
      <c r="D572" s="859"/>
      <c r="E572" s="975"/>
      <c r="F572" s="859"/>
      <c r="G572" s="859"/>
      <c r="H572" s="859"/>
      <c r="I572" s="859"/>
      <c r="J572" s="859"/>
      <c r="K572" s="859"/>
      <c r="L572" s="859"/>
      <c r="M572" s="859"/>
      <c r="N572" s="859"/>
      <c r="O572" s="859"/>
      <c r="P572" s="859"/>
      <c r="Q572" s="859"/>
      <c r="R572" s="859"/>
      <c r="S572" s="859"/>
      <c r="T572" s="859"/>
      <c r="U572" s="859"/>
      <c r="V572" s="859"/>
      <c r="W572" s="859"/>
      <c r="X572" s="859"/>
      <c r="Y572" s="859"/>
      <c r="Z572" s="859"/>
      <c r="AA572" s="859"/>
      <c r="AB572" s="859"/>
      <c r="AC572" s="859"/>
      <c r="AD572" s="859"/>
      <c r="AE572" s="869"/>
      <c r="AF572" s="869"/>
      <c r="AG572" s="869"/>
      <c r="AH572" s="869"/>
      <c r="AI572" s="869"/>
      <c r="AJ572" s="869"/>
      <c r="AK572" s="869"/>
      <c r="AL572" s="869"/>
      <c r="AM572" s="869"/>
      <c r="AN572" s="869"/>
      <c r="AO572" s="869"/>
      <c r="AP572" s="869"/>
      <c r="AQ572" s="869"/>
      <c r="AR572" s="869"/>
      <c r="AS572" s="869"/>
      <c r="AT572" s="869"/>
      <c r="AU572" s="869"/>
      <c r="AV572" s="869"/>
      <c r="AW572" s="869"/>
      <c r="AX572" s="869"/>
    </row>
    <row r="573" spans="8:8" customHeight="1">
      <c r="A573" s="859"/>
      <c r="B573" s="859"/>
      <c r="C573" s="859"/>
      <c r="D573" s="859"/>
      <c r="E573" s="975"/>
      <c r="F573" s="859"/>
      <c r="G573" s="859"/>
      <c r="H573" s="859"/>
      <c r="I573" s="859"/>
      <c r="J573" s="859"/>
      <c r="K573" s="859"/>
      <c r="L573" s="859"/>
      <c r="M573" s="859"/>
      <c r="N573" s="859"/>
      <c r="O573" s="859"/>
      <c r="P573" s="859"/>
      <c r="Q573" s="859"/>
      <c r="R573" s="859"/>
      <c r="S573" s="859"/>
      <c r="T573" s="859"/>
      <c r="U573" s="859"/>
      <c r="V573" s="859"/>
      <c r="W573" s="859"/>
      <c r="X573" s="859"/>
      <c r="Y573" s="859"/>
      <c r="Z573" s="859"/>
      <c r="AA573" s="859"/>
      <c r="AB573" s="859"/>
      <c r="AC573" s="859"/>
      <c r="AD573" s="859"/>
      <c r="AE573" s="869"/>
      <c r="AF573" s="869"/>
      <c r="AG573" s="869"/>
      <c r="AH573" s="869"/>
      <c r="AI573" s="869"/>
      <c r="AJ573" s="869"/>
      <c r="AK573" s="869"/>
      <c r="AL573" s="869"/>
      <c r="AM573" s="869"/>
      <c r="AN573" s="869"/>
      <c r="AO573" s="869"/>
      <c r="AP573" s="869"/>
      <c r="AQ573" s="869"/>
      <c r="AR573" s="869"/>
      <c r="AS573" s="869"/>
      <c r="AT573" s="869"/>
      <c r="AU573" s="869"/>
      <c r="AV573" s="869"/>
      <c r="AW573" s="869"/>
      <c r="AX573" s="869"/>
    </row>
    <row r="574" spans="8:8" customHeight="1">
      <c r="A574" s="859"/>
      <c r="B574" s="859"/>
      <c r="C574" s="859"/>
      <c r="D574" s="859"/>
      <c r="E574" s="975"/>
      <c r="F574" s="859"/>
      <c r="G574" s="859"/>
      <c r="H574" s="859"/>
      <c r="I574" s="859"/>
      <c r="J574" s="859"/>
      <c r="K574" s="859"/>
      <c r="L574" s="859"/>
      <c r="M574" s="859"/>
      <c r="N574" s="859"/>
      <c r="O574" s="859"/>
      <c r="P574" s="859"/>
      <c r="Q574" s="859"/>
      <c r="R574" s="859"/>
      <c r="S574" s="859"/>
      <c r="T574" s="859"/>
      <c r="U574" s="859"/>
      <c r="V574" s="859"/>
      <c r="W574" s="859"/>
      <c r="X574" s="859"/>
      <c r="Y574" s="859"/>
      <c r="Z574" s="859"/>
      <c r="AA574" s="859"/>
      <c r="AB574" s="859"/>
      <c r="AC574" s="859"/>
      <c r="AD574" s="859"/>
      <c r="AE574" s="869"/>
      <c r="AF574" s="869"/>
      <c r="AG574" s="869"/>
      <c r="AH574" s="869"/>
      <c r="AI574" s="869"/>
      <c r="AJ574" s="869"/>
      <c r="AK574" s="869"/>
      <c r="AL574" s="869"/>
      <c r="AM574" s="869"/>
      <c r="AN574" s="869"/>
      <c r="AO574" s="869"/>
      <c r="AP574" s="869"/>
      <c r="AQ574" s="869"/>
      <c r="AR574" s="869"/>
      <c r="AS574" s="869"/>
      <c r="AT574" s="869"/>
      <c r="AU574" s="869"/>
      <c r="AV574" s="869"/>
      <c r="AW574" s="869"/>
      <c r="AX574" s="869"/>
    </row>
    <row r="575" spans="8:8" customHeight="1">
      <c r="A575" s="859"/>
      <c r="B575" s="859"/>
      <c r="C575" s="859"/>
      <c r="D575" s="859"/>
      <c r="E575" s="975"/>
      <c r="F575" s="859"/>
      <c r="G575" s="859"/>
      <c r="H575" s="859"/>
      <c r="I575" s="859"/>
      <c r="J575" s="859"/>
      <c r="K575" s="859"/>
      <c r="L575" s="859"/>
      <c r="M575" s="859"/>
      <c r="N575" s="859"/>
      <c r="O575" s="859"/>
      <c r="P575" s="859"/>
      <c r="Q575" s="859"/>
      <c r="R575" s="859"/>
      <c r="S575" s="859"/>
      <c r="T575" s="859"/>
      <c r="U575" s="859"/>
      <c r="V575" s="859"/>
      <c r="W575" s="859"/>
      <c r="X575" s="859"/>
      <c r="Y575" s="859"/>
      <c r="Z575" s="859"/>
      <c r="AA575" s="859"/>
      <c r="AB575" s="859"/>
      <c r="AC575" s="859"/>
      <c r="AD575" s="859"/>
      <c r="AE575" s="869"/>
      <c r="AF575" s="869"/>
      <c r="AG575" s="869"/>
      <c r="AH575" s="869"/>
      <c r="AI575" s="869"/>
      <c r="AJ575" s="869"/>
      <c r="AK575" s="869"/>
      <c r="AL575" s="869"/>
      <c r="AM575" s="869"/>
      <c r="AN575" s="869"/>
      <c r="AO575" s="869"/>
      <c r="AP575" s="869"/>
      <c r="AQ575" s="869"/>
      <c r="AR575" s="869"/>
      <c r="AS575" s="869"/>
      <c r="AT575" s="869"/>
      <c r="AU575" s="869"/>
      <c r="AV575" s="869"/>
      <c r="AW575" s="869"/>
      <c r="AX575" s="869"/>
    </row>
    <row r="576" spans="8:8" customHeight="1">
      <c r="A576" s="859"/>
      <c r="B576" s="859"/>
      <c r="C576" s="859"/>
      <c r="D576" s="859"/>
      <c r="E576" s="975"/>
      <c r="F576" s="859"/>
      <c r="G576" s="859"/>
      <c r="H576" s="859"/>
      <c r="I576" s="859"/>
      <c r="J576" s="859"/>
      <c r="K576" s="859"/>
      <c r="L576" s="859"/>
      <c r="M576" s="859"/>
      <c r="N576" s="859"/>
      <c r="O576" s="859"/>
      <c r="P576" s="859"/>
      <c r="Q576" s="859"/>
      <c r="R576" s="859"/>
      <c r="S576" s="859"/>
      <c r="T576" s="859"/>
      <c r="U576" s="859"/>
      <c r="V576" s="859"/>
      <c r="W576" s="859"/>
      <c r="X576" s="859"/>
      <c r="Y576" s="859"/>
      <c r="Z576" s="859"/>
      <c r="AA576" s="859"/>
      <c r="AB576" s="859"/>
      <c r="AC576" s="859"/>
      <c r="AD576" s="859"/>
      <c r="AE576" s="869"/>
      <c r="AF576" s="869"/>
      <c r="AG576" s="869"/>
      <c r="AH576" s="869"/>
      <c r="AI576" s="869"/>
      <c r="AJ576" s="869"/>
      <c r="AK576" s="869"/>
      <c r="AL576" s="869"/>
      <c r="AM576" s="869"/>
      <c r="AN576" s="869"/>
      <c r="AO576" s="869"/>
      <c r="AP576" s="869"/>
      <c r="AQ576" s="869"/>
      <c r="AR576" s="869"/>
      <c r="AS576" s="869"/>
      <c r="AT576" s="869"/>
      <c r="AU576" s="869"/>
      <c r="AV576" s="869"/>
      <c r="AW576" s="869"/>
      <c r="AX576" s="869"/>
    </row>
    <row r="577" spans="8:8" customHeight="1">
      <c r="A577" s="859"/>
      <c r="B577" s="859"/>
      <c r="C577" s="859"/>
      <c r="D577" s="859"/>
      <c r="E577" s="975"/>
      <c r="F577" s="859"/>
      <c r="G577" s="859"/>
      <c r="H577" s="859"/>
      <c r="I577" s="859"/>
      <c r="J577" s="859"/>
      <c r="K577" s="859"/>
      <c r="L577" s="859"/>
      <c r="M577" s="859"/>
      <c r="N577" s="859"/>
      <c r="O577" s="859"/>
      <c r="P577" s="859"/>
      <c r="Q577" s="859"/>
      <c r="R577" s="859"/>
      <c r="S577" s="859"/>
      <c r="T577" s="859"/>
      <c r="U577" s="859"/>
      <c r="V577" s="859"/>
      <c r="W577" s="859"/>
      <c r="X577" s="859"/>
      <c r="Y577" s="859"/>
      <c r="Z577" s="859"/>
      <c r="AA577" s="859"/>
      <c r="AB577" s="859"/>
      <c r="AC577" s="859"/>
      <c r="AD577" s="859"/>
      <c r="AE577" s="869"/>
      <c r="AF577" s="869"/>
      <c r="AG577" s="869"/>
      <c r="AH577" s="869"/>
      <c r="AI577" s="869"/>
      <c r="AJ577" s="869"/>
      <c r="AK577" s="869"/>
      <c r="AL577" s="869"/>
      <c r="AM577" s="869"/>
      <c r="AN577" s="869"/>
      <c r="AO577" s="869"/>
      <c r="AP577" s="869"/>
      <c r="AQ577" s="869"/>
      <c r="AR577" s="869"/>
      <c r="AS577" s="869"/>
      <c r="AT577" s="869"/>
      <c r="AU577" s="869"/>
      <c r="AV577" s="869"/>
      <c r="AW577" s="869"/>
      <c r="AX577" s="869"/>
    </row>
    <row r="578" spans="8:8" customHeight="1">
      <c r="A578" s="859"/>
      <c r="B578" s="859"/>
      <c r="C578" s="859"/>
      <c r="D578" s="859"/>
      <c r="E578" s="975"/>
      <c r="F578" s="859"/>
      <c r="G578" s="859"/>
      <c r="H578" s="859"/>
      <c r="I578" s="859"/>
      <c r="J578" s="859"/>
      <c r="K578" s="859"/>
      <c r="L578" s="859"/>
      <c r="M578" s="859"/>
      <c r="N578" s="859"/>
      <c r="O578" s="859"/>
      <c r="P578" s="859"/>
      <c r="Q578" s="859"/>
      <c r="R578" s="859"/>
      <c r="S578" s="859"/>
      <c r="T578" s="859"/>
      <c r="U578" s="859"/>
      <c r="V578" s="859"/>
      <c r="W578" s="859"/>
      <c r="X578" s="859"/>
      <c r="Y578" s="859"/>
      <c r="Z578" s="859"/>
      <c r="AA578" s="859"/>
      <c r="AB578" s="859"/>
      <c r="AC578" s="859"/>
      <c r="AD578" s="859"/>
      <c r="AE578" s="869"/>
      <c r="AF578" s="869"/>
      <c r="AG578" s="869"/>
      <c r="AH578" s="869"/>
      <c r="AI578" s="869"/>
      <c r="AJ578" s="869"/>
      <c r="AK578" s="869"/>
      <c r="AL578" s="869"/>
      <c r="AM578" s="869"/>
      <c r="AN578" s="869"/>
      <c r="AO578" s="869"/>
      <c r="AP578" s="869"/>
      <c r="AQ578" s="869"/>
      <c r="AR578" s="869"/>
      <c r="AS578" s="869"/>
      <c r="AT578" s="869"/>
      <c r="AU578" s="869"/>
      <c r="AV578" s="869"/>
      <c r="AW578" s="869"/>
      <c r="AX578" s="869"/>
    </row>
    <row r="579" spans="8:8" customHeight="1">
      <c r="A579" s="859"/>
      <c r="B579" s="859"/>
      <c r="C579" s="859"/>
      <c r="D579" s="859"/>
      <c r="E579" s="975"/>
      <c r="F579" s="859"/>
      <c r="G579" s="859"/>
      <c r="H579" s="859"/>
      <c r="I579" s="859"/>
      <c r="J579" s="859"/>
      <c r="K579" s="859"/>
      <c r="L579" s="859"/>
      <c r="M579" s="859"/>
      <c r="N579" s="859"/>
      <c r="O579" s="859"/>
      <c r="P579" s="859"/>
      <c r="Q579" s="859"/>
      <c r="R579" s="859"/>
      <c r="S579" s="859"/>
      <c r="T579" s="859"/>
      <c r="U579" s="859"/>
      <c r="V579" s="859"/>
      <c r="W579" s="859"/>
      <c r="X579" s="859"/>
      <c r="Y579" s="859"/>
      <c r="Z579" s="859"/>
      <c r="AA579" s="859"/>
      <c r="AB579" s="859"/>
      <c r="AC579" s="859"/>
      <c r="AD579" s="859"/>
      <c r="AE579" s="869"/>
      <c r="AF579" s="869"/>
      <c r="AG579" s="869"/>
      <c r="AH579" s="869"/>
      <c r="AI579" s="869"/>
      <c r="AJ579" s="869"/>
      <c r="AK579" s="869"/>
      <c r="AL579" s="869"/>
      <c r="AM579" s="869"/>
      <c r="AN579" s="869"/>
      <c r="AO579" s="869"/>
      <c r="AP579" s="869"/>
      <c r="AQ579" s="869"/>
      <c r="AR579" s="869"/>
      <c r="AS579" s="869"/>
      <c r="AT579" s="869"/>
      <c r="AU579" s="869"/>
      <c r="AV579" s="869"/>
      <c r="AW579" s="869"/>
      <c r="AX579" s="869"/>
    </row>
    <row r="580" spans="8:8" customHeight="1">
      <c r="A580" s="859"/>
      <c r="B580" s="859"/>
      <c r="C580" s="859"/>
      <c r="D580" s="859"/>
      <c r="E580" s="975"/>
      <c r="F580" s="859"/>
      <c r="G580" s="859"/>
      <c r="H580" s="859"/>
      <c r="I580" s="859"/>
      <c r="J580" s="859"/>
      <c r="K580" s="859"/>
      <c r="L580" s="859"/>
      <c r="M580" s="859"/>
      <c r="N580" s="859"/>
      <c r="O580" s="859"/>
      <c r="P580" s="859"/>
      <c r="Q580" s="859"/>
      <c r="R580" s="859"/>
      <c r="S580" s="859"/>
      <c r="T580" s="859"/>
      <c r="U580" s="859"/>
      <c r="V580" s="859"/>
      <c r="W580" s="859"/>
      <c r="X580" s="859"/>
      <c r="Y580" s="859"/>
      <c r="Z580" s="859"/>
      <c r="AA580" s="859"/>
      <c r="AB580" s="859"/>
      <c r="AC580" s="859"/>
      <c r="AD580" s="859"/>
      <c r="AE580" s="869"/>
      <c r="AF580" s="869"/>
      <c r="AG580" s="869"/>
      <c r="AH580" s="869"/>
      <c r="AI580" s="869"/>
      <c r="AJ580" s="869"/>
      <c r="AK580" s="869"/>
      <c r="AL580" s="869"/>
      <c r="AM580" s="869"/>
      <c r="AN580" s="869"/>
      <c r="AO580" s="869"/>
      <c r="AP580" s="869"/>
      <c r="AQ580" s="869"/>
      <c r="AR580" s="869"/>
      <c r="AS580" s="869"/>
      <c r="AT580" s="869"/>
      <c r="AU580" s="869"/>
      <c r="AV580" s="869"/>
      <c r="AW580" s="869"/>
      <c r="AX580" s="869"/>
    </row>
    <row r="581" spans="8:8" customHeight="1">
      <c r="A581" s="859"/>
      <c r="B581" s="859"/>
      <c r="C581" s="859"/>
      <c r="D581" s="859"/>
      <c r="E581" s="975"/>
      <c r="F581" s="859"/>
      <c r="G581" s="859"/>
      <c r="H581" s="859"/>
      <c r="I581" s="859"/>
      <c r="J581" s="859"/>
      <c r="K581" s="859"/>
      <c r="L581" s="859"/>
      <c r="M581" s="859"/>
      <c r="N581" s="859"/>
      <c r="O581" s="859"/>
      <c r="P581" s="859"/>
      <c r="Q581" s="859"/>
      <c r="R581" s="859"/>
      <c r="S581" s="859"/>
      <c r="T581" s="859"/>
      <c r="U581" s="859"/>
      <c r="V581" s="859"/>
      <c r="W581" s="859"/>
      <c r="X581" s="859"/>
      <c r="Y581" s="859"/>
      <c r="Z581" s="859"/>
      <c r="AA581" s="859"/>
      <c r="AB581" s="859"/>
      <c r="AC581" s="859"/>
      <c r="AD581" s="859"/>
      <c r="AE581" s="869"/>
      <c r="AF581" s="869"/>
      <c r="AG581" s="869"/>
      <c r="AH581" s="869"/>
      <c r="AI581" s="869"/>
      <c r="AJ581" s="869"/>
      <c r="AK581" s="869"/>
      <c r="AL581" s="869"/>
      <c r="AM581" s="869"/>
      <c r="AN581" s="869"/>
      <c r="AO581" s="869"/>
      <c r="AP581" s="869"/>
      <c r="AQ581" s="869"/>
      <c r="AR581" s="869"/>
      <c r="AS581" s="869"/>
      <c r="AT581" s="869"/>
      <c r="AU581" s="869"/>
      <c r="AV581" s="869"/>
      <c r="AW581" s="869"/>
      <c r="AX581" s="869"/>
    </row>
    <row r="582" spans="8:8" customHeight="1">
      <c r="A582" s="859"/>
      <c r="B582" s="859"/>
      <c r="C582" s="859"/>
      <c r="D582" s="859"/>
      <c r="E582" s="975"/>
      <c r="F582" s="859"/>
      <c r="G582" s="859"/>
      <c r="H582" s="859"/>
      <c r="I582" s="859"/>
      <c r="J582" s="859"/>
      <c r="K582" s="859"/>
      <c r="L582" s="859"/>
      <c r="M582" s="859"/>
      <c r="N582" s="859"/>
      <c r="O582" s="859"/>
      <c r="P582" s="859"/>
      <c r="Q582" s="859"/>
      <c r="R582" s="859"/>
      <c r="S582" s="859"/>
      <c r="T582" s="859"/>
      <c r="U582" s="859"/>
      <c r="V582" s="859"/>
      <c r="W582" s="859"/>
      <c r="X582" s="859"/>
      <c r="Y582" s="859"/>
      <c r="Z582" s="859"/>
      <c r="AA582" s="859"/>
      <c r="AB582" s="859"/>
      <c r="AC582" s="859"/>
      <c r="AD582" s="859"/>
      <c r="AE582" s="869"/>
      <c r="AF582" s="869"/>
      <c r="AG582" s="869"/>
      <c r="AH582" s="869"/>
      <c r="AI582" s="869"/>
      <c r="AJ582" s="869"/>
      <c r="AK582" s="869"/>
      <c r="AL582" s="869"/>
      <c r="AM582" s="869"/>
      <c r="AN582" s="869"/>
      <c r="AO582" s="869"/>
      <c r="AP582" s="869"/>
      <c r="AQ582" s="869"/>
      <c r="AR582" s="869"/>
      <c r="AS582" s="869"/>
      <c r="AT582" s="869"/>
      <c r="AU582" s="869"/>
      <c r="AV582" s="869"/>
      <c r="AW582" s="869"/>
      <c r="AX582" s="869"/>
    </row>
    <row r="583" spans="8:8" customHeight="1">
      <c r="A583" s="859"/>
      <c r="B583" s="859"/>
      <c r="C583" s="859"/>
      <c r="D583" s="859"/>
      <c r="E583" s="975"/>
      <c r="F583" s="859"/>
      <c r="G583" s="859"/>
      <c r="H583" s="859"/>
      <c r="I583" s="859"/>
      <c r="J583" s="859"/>
      <c r="K583" s="859"/>
      <c r="L583" s="859"/>
      <c r="M583" s="859"/>
      <c r="N583" s="859"/>
      <c r="O583" s="859"/>
      <c r="P583" s="859"/>
      <c r="Q583" s="859"/>
      <c r="R583" s="859"/>
      <c r="S583" s="859"/>
      <c r="T583" s="859"/>
      <c r="U583" s="859"/>
      <c r="V583" s="859"/>
      <c r="W583" s="859"/>
      <c r="X583" s="859"/>
      <c r="Y583" s="859"/>
      <c r="Z583" s="859"/>
      <c r="AA583" s="859"/>
      <c r="AB583" s="859"/>
      <c r="AC583" s="859"/>
      <c r="AD583" s="859"/>
      <c r="AE583" s="869"/>
      <c r="AF583" s="869"/>
      <c r="AG583" s="869"/>
      <c r="AH583" s="869"/>
      <c r="AI583" s="869"/>
      <c r="AJ583" s="869"/>
      <c r="AK583" s="869"/>
      <c r="AL583" s="869"/>
      <c r="AM583" s="869"/>
      <c r="AN583" s="869"/>
      <c r="AO583" s="869"/>
      <c r="AP583" s="869"/>
      <c r="AQ583" s="869"/>
      <c r="AR583" s="869"/>
      <c r="AS583" s="869"/>
      <c r="AT583" s="869"/>
      <c r="AU583" s="869"/>
      <c r="AV583" s="869"/>
      <c r="AW583" s="869"/>
      <c r="AX583" s="869"/>
    </row>
    <row r="584" spans="8:8" customHeight="1">
      <c r="A584" s="859"/>
      <c r="B584" s="859"/>
      <c r="C584" s="859"/>
      <c r="D584" s="859"/>
      <c r="E584" s="975"/>
      <c r="F584" s="859"/>
      <c r="G584" s="859"/>
      <c r="H584" s="859"/>
      <c r="I584" s="859"/>
      <c r="J584" s="859"/>
      <c r="K584" s="859"/>
      <c r="L584" s="859"/>
      <c r="M584" s="859"/>
      <c r="N584" s="859"/>
      <c r="O584" s="859"/>
      <c r="P584" s="859"/>
      <c r="Q584" s="859"/>
      <c r="R584" s="859"/>
      <c r="S584" s="859"/>
      <c r="T584" s="859"/>
      <c r="U584" s="859"/>
      <c r="V584" s="859"/>
      <c r="W584" s="859"/>
      <c r="X584" s="859"/>
      <c r="Y584" s="859"/>
      <c r="Z584" s="859"/>
      <c r="AA584" s="859"/>
      <c r="AB584" s="859"/>
      <c r="AC584" s="859"/>
      <c r="AD584" s="859"/>
      <c r="AE584" s="869"/>
      <c r="AF584" s="869"/>
      <c r="AG584" s="869"/>
      <c r="AH584" s="869"/>
      <c r="AI584" s="869"/>
      <c r="AJ584" s="869"/>
      <c r="AK584" s="869"/>
      <c r="AL584" s="869"/>
      <c r="AM584" s="869"/>
      <c r="AN584" s="869"/>
      <c r="AO584" s="869"/>
      <c r="AP584" s="869"/>
      <c r="AQ584" s="869"/>
      <c r="AR584" s="869"/>
      <c r="AS584" s="869"/>
      <c r="AT584" s="869"/>
      <c r="AU584" s="869"/>
      <c r="AV584" s="869"/>
      <c r="AW584" s="869"/>
      <c r="AX584" s="869"/>
    </row>
    <row r="585" spans="8:8" customHeight="1">
      <c r="A585" s="859"/>
      <c r="B585" s="859"/>
      <c r="C585" s="859"/>
      <c r="D585" s="859"/>
      <c r="E585" s="975"/>
      <c r="F585" s="859"/>
      <c r="G585" s="859"/>
      <c r="H585" s="859"/>
      <c r="I585" s="859"/>
      <c r="J585" s="859"/>
      <c r="K585" s="859"/>
      <c r="L585" s="859"/>
      <c r="M585" s="859"/>
      <c r="N585" s="859"/>
      <c r="O585" s="859"/>
      <c r="P585" s="859"/>
      <c r="Q585" s="859"/>
      <c r="R585" s="859"/>
      <c r="S585" s="859"/>
      <c r="T585" s="859"/>
      <c r="U585" s="859"/>
      <c r="V585" s="859"/>
      <c r="W585" s="859"/>
      <c r="X585" s="859"/>
      <c r="Y585" s="859"/>
      <c r="Z585" s="859"/>
      <c r="AA585" s="859"/>
      <c r="AB585" s="859"/>
      <c r="AC585" s="859"/>
      <c r="AD585" s="859"/>
      <c r="AE585" s="869"/>
      <c r="AF585" s="869"/>
      <c r="AG585" s="869"/>
      <c r="AH585" s="869"/>
      <c r="AI585" s="869"/>
      <c r="AJ585" s="869"/>
      <c r="AK585" s="869"/>
      <c r="AL585" s="869"/>
      <c r="AM585" s="869"/>
      <c r="AN585" s="869"/>
      <c r="AO585" s="869"/>
      <c r="AP585" s="869"/>
      <c r="AQ585" s="869"/>
      <c r="AR585" s="869"/>
      <c r="AS585" s="869"/>
      <c r="AT585" s="869"/>
      <c r="AU585" s="869"/>
      <c r="AV585" s="869"/>
      <c r="AW585" s="869"/>
      <c r="AX585" s="869"/>
    </row>
    <row r="586" spans="8:8" customHeight="1">
      <c r="A586" s="859"/>
      <c r="B586" s="859"/>
      <c r="C586" s="859"/>
      <c r="D586" s="859"/>
      <c r="E586" s="975"/>
      <c r="F586" s="859"/>
      <c r="G586" s="859"/>
      <c r="H586" s="859"/>
      <c r="I586" s="859"/>
      <c r="J586" s="859"/>
      <c r="K586" s="859"/>
      <c r="L586" s="859"/>
      <c r="M586" s="859"/>
      <c r="N586" s="859"/>
      <c r="O586" s="859"/>
      <c r="P586" s="859"/>
      <c r="Q586" s="859"/>
      <c r="R586" s="859"/>
      <c r="S586" s="859"/>
      <c r="T586" s="859"/>
      <c r="U586" s="859"/>
      <c r="V586" s="859"/>
      <c r="W586" s="859"/>
      <c r="X586" s="859"/>
      <c r="Y586" s="859"/>
      <c r="Z586" s="859"/>
      <c r="AA586" s="859"/>
      <c r="AB586" s="859"/>
      <c r="AC586" s="859"/>
      <c r="AD586" s="859"/>
      <c r="AE586" s="869"/>
      <c r="AF586" s="869"/>
      <c r="AG586" s="869"/>
      <c r="AH586" s="869"/>
      <c r="AI586" s="869"/>
      <c r="AJ586" s="869"/>
      <c r="AK586" s="869"/>
      <c r="AL586" s="869"/>
      <c r="AM586" s="869"/>
      <c r="AN586" s="869"/>
      <c r="AO586" s="869"/>
      <c r="AP586" s="869"/>
      <c r="AQ586" s="869"/>
      <c r="AR586" s="869"/>
      <c r="AS586" s="869"/>
      <c r="AT586" s="869"/>
      <c r="AU586" s="869"/>
      <c r="AV586" s="869"/>
      <c r="AW586" s="869"/>
      <c r="AX586" s="869"/>
    </row>
    <row r="587" spans="8:8" customHeight="1">
      <c r="A587" s="859"/>
      <c r="B587" s="859"/>
      <c r="C587" s="859"/>
      <c r="D587" s="859"/>
      <c r="E587" s="975"/>
      <c r="F587" s="859"/>
      <c r="G587" s="859"/>
      <c r="H587" s="859"/>
      <c r="I587" s="859"/>
      <c r="J587" s="859"/>
      <c r="K587" s="859"/>
      <c r="L587" s="859"/>
      <c r="M587" s="859"/>
      <c r="N587" s="859"/>
      <c r="O587" s="859"/>
      <c r="P587" s="859"/>
      <c r="Q587" s="859"/>
      <c r="R587" s="859"/>
      <c r="S587" s="859"/>
      <c r="T587" s="859"/>
      <c r="U587" s="859"/>
      <c r="V587" s="859"/>
      <c r="W587" s="859"/>
      <c r="X587" s="859"/>
      <c r="Y587" s="859"/>
      <c r="Z587" s="859"/>
      <c r="AA587" s="859"/>
      <c r="AB587" s="859"/>
      <c r="AC587" s="859"/>
      <c r="AD587" s="859"/>
      <c r="AE587" s="869"/>
      <c r="AF587" s="869"/>
      <c r="AG587" s="869"/>
      <c r="AH587" s="869"/>
      <c r="AI587" s="869"/>
      <c r="AJ587" s="869"/>
      <c r="AK587" s="869"/>
      <c r="AL587" s="869"/>
      <c r="AM587" s="869"/>
      <c r="AN587" s="869"/>
      <c r="AO587" s="869"/>
      <c r="AP587" s="869"/>
      <c r="AQ587" s="869"/>
      <c r="AR587" s="869"/>
      <c r="AS587" s="869"/>
      <c r="AT587" s="869"/>
      <c r="AU587" s="869"/>
      <c r="AV587" s="869"/>
      <c r="AW587" s="869"/>
      <c r="AX587" s="869"/>
    </row>
    <row r="588" spans="8:8" customHeight="1">
      <c r="A588" s="859"/>
      <c r="B588" s="859"/>
      <c r="C588" s="859"/>
      <c r="D588" s="859"/>
      <c r="E588" s="975"/>
      <c r="F588" s="859"/>
      <c r="G588" s="859"/>
      <c r="H588" s="859"/>
      <c r="I588" s="859"/>
      <c r="J588" s="859"/>
      <c r="K588" s="859"/>
      <c r="L588" s="859"/>
      <c r="M588" s="859"/>
      <c r="N588" s="859"/>
      <c r="O588" s="859"/>
      <c r="P588" s="859"/>
      <c r="Q588" s="859"/>
      <c r="R588" s="859"/>
      <c r="S588" s="859"/>
      <c r="T588" s="859"/>
      <c r="U588" s="859"/>
      <c r="V588" s="859"/>
      <c r="W588" s="859"/>
      <c r="X588" s="859"/>
      <c r="Y588" s="859"/>
      <c r="Z588" s="859"/>
      <c r="AA588" s="859"/>
      <c r="AB588" s="859"/>
      <c r="AC588" s="859"/>
      <c r="AD588" s="859"/>
      <c r="AE588" s="869"/>
      <c r="AF588" s="869"/>
      <c r="AG588" s="869"/>
      <c r="AH588" s="869"/>
      <c r="AI588" s="869"/>
      <c r="AJ588" s="869"/>
      <c r="AK588" s="869"/>
      <c r="AL588" s="869"/>
      <c r="AM588" s="869"/>
      <c r="AN588" s="869"/>
      <c r="AO588" s="869"/>
      <c r="AP588" s="869"/>
      <c r="AQ588" s="869"/>
      <c r="AR588" s="869"/>
      <c r="AS588" s="869"/>
      <c r="AT588" s="869"/>
      <c r="AU588" s="869"/>
      <c r="AV588" s="869"/>
      <c r="AW588" s="869"/>
      <c r="AX588" s="869"/>
    </row>
    <row r="589" spans="8:8" customHeight="1">
      <c r="A589" s="859"/>
      <c r="B589" s="859"/>
      <c r="C589" s="859"/>
      <c r="D589" s="859"/>
      <c r="E589" s="975"/>
      <c r="F589" s="859"/>
      <c r="G589" s="859"/>
      <c r="H589" s="859"/>
      <c r="I589" s="859"/>
      <c r="J589" s="859"/>
      <c r="K589" s="859"/>
      <c r="L589" s="859"/>
      <c r="M589" s="859"/>
      <c r="N589" s="859"/>
      <c r="O589" s="859"/>
      <c r="P589" s="859"/>
      <c r="Q589" s="859"/>
      <c r="R589" s="859"/>
      <c r="S589" s="859"/>
      <c r="T589" s="859"/>
      <c r="U589" s="859"/>
      <c r="V589" s="859"/>
      <c r="W589" s="859"/>
      <c r="X589" s="859"/>
      <c r="Y589" s="859"/>
      <c r="Z589" s="859"/>
      <c r="AA589" s="859"/>
      <c r="AB589" s="859"/>
      <c r="AC589" s="859"/>
      <c r="AD589" s="859"/>
      <c r="AE589" s="869"/>
      <c r="AF589" s="869"/>
      <c r="AG589" s="869"/>
      <c r="AH589" s="869"/>
      <c r="AI589" s="869"/>
      <c r="AJ589" s="869"/>
      <c r="AK589" s="869"/>
      <c r="AL589" s="869"/>
      <c r="AM589" s="869"/>
      <c r="AN589" s="869"/>
      <c r="AO589" s="869"/>
      <c r="AP589" s="869"/>
      <c r="AQ589" s="869"/>
      <c r="AR589" s="869"/>
      <c r="AS589" s="869"/>
      <c r="AT589" s="869"/>
      <c r="AU589" s="869"/>
      <c r="AV589" s="869"/>
      <c r="AW589" s="869"/>
      <c r="AX589" s="869"/>
    </row>
    <row r="590" spans="8:8" customHeight="1">
      <c r="A590" s="859"/>
      <c r="B590" s="859"/>
      <c r="C590" s="859"/>
      <c r="D590" s="859"/>
      <c r="E590" s="975"/>
      <c r="F590" s="859"/>
      <c r="G590" s="859"/>
      <c r="H590" s="859"/>
      <c r="I590" s="859"/>
      <c r="J590" s="859"/>
      <c r="K590" s="859"/>
      <c r="L590" s="859"/>
      <c r="M590" s="859"/>
      <c r="N590" s="859"/>
      <c r="O590" s="859"/>
      <c r="P590" s="859"/>
      <c r="Q590" s="859"/>
      <c r="R590" s="859"/>
      <c r="S590" s="859"/>
      <c r="T590" s="859"/>
      <c r="U590" s="859"/>
      <c r="V590" s="859"/>
      <c r="W590" s="859"/>
      <c r="X590" s="859"/>
      <c r="Y590" s="859"/>
      <c r="Z590" s="859"/>
      <c r="AA590" s="859"/>
      <c r="AB590" s="859"/>
      <c r="AC590" s="859"/>
      <c r="AD590" s="859"/>
      <c r="AE590" s="869"/>
      <c r="AF590" s="869"/>
      <c r="AG590" s="869"/>
      <c r="AH590" s="869"/>
      <c r="AI590" s="869"/>
      <c r="AJ590" s="869"/>
      <c r="AK590" s="869"/>
      <c r="AL590" s="869"/>
      <c r="AM590" s="869"/>
      <c r="AN590" s="869"/>
      <c r="AO590" s="869"/>
      <c r="AP590" s="869"/>
      <c r="AQ590" s="869"/>
      <c r="AR590" s="869"/>
      <c r="AS590" s="869"/>
      <c r="AT590" s="869"/>
      <c r="AU590" s="869"/>
      <c r="AV590" s="869"/>
      <c r="AW590" s="869"/>
      <c r="AX590" s="869"/>
    </row>
    <row r="591" spans="8:8" customHeight="1">
      <c r="A591" s="859"/>
      <c r="B591" s="859"/>
      <c r="C591" s="859"/>
      <c r="D591" s="859"/>
      <c r="E591" s="975"/>
      <c r="F591" s="859"/>
      <c r="G591" s="859"/>
      <c r="H591" s="859"/>
      <c r="I591" s="859"/>
      <c r="J591" s="859"/>
      <c r="K591" s="859"/>
      <c r="L591" s="859"/>
      <c r="M591" s="859"/>
      <c r="N591" s="859"/>
      <c r="O591" s="859"/>
      <c r="P591" s="859"/>
      <c r="Q591" s="859"/>
      <c r="R591" s="859"/>
      <c r="S591" s="859"/>
      <c r="T591" s="859"/>
      <c r="U591" s="859"/>
      <c r="V591" s="859"/>
      <c r="W591" s="859"/>
      <c r="X591" s="859"/>
      <c r="Y591" s="859"/>
      <c r="Z591" s="859"/>
      <c r="AA591" s="859"/>
      <c r="AB591" s="859"/>
      <c r="AC591" s="859"/>
      <c r="AD591" s="859"/>
      <c r="AE591" s="869"/>
      <c r="AF591" s="869"/>
      <c r="AG591" s="869"/>
      <c r="AH591" s="869"/>
      <c r="AI591" s="869"/>
      <c r="AJ591" s="869"/>
      <c r="AK591" s="869"/>
      <c r="AL591" s="869"/>
      <c r="AM591" s="869"/>
      <c r="AN591" s="869"/>
      <c r="AO591" s="869"/>
      <c r="AP591" s="869"/>
      <c r="AQ591" s="869"/>
      <c r="AR591" s="869"/>
      <c r="AS591" s="869"/>
      <c r="AT591" s="869"/>
      <c r="AU591" s="869"/>
      <c r="AV591" s="869"/>
      <c r="AW591" s="869"/>
      <c r="AX591" s="869"/>
    </row>
    <row r="592" spans="8:8" customHeight="1">
      <c r="A592" s="859"/>
      <c r="B592" s="859"/>
      <c r="C592" s="859"/>
      <c r="D592" s="859"/>
      <c r="E592" s="975"/>
      <c r="F592" s="859"/>
      <c r="G592" s="859"/>
      <c r="H592" s="859"/>
      <c r="I592" s="859"/>
      <c r="J592" s="859"/>
      <c r="K592" s="859"/>
      <c r="L592" s="859"/>
      <c r="M592" s="859"/>
      <c r="N592" s="859"/>
      <c r="O592" s="859"/>
      <c r="P592" s="859"/>
      <c r="Q592" s="859"/>
      <c r="R592" s="859"/>
      <c r="S592" s="859"/>
      <c r="T592" s="859"/>
      <c r="U592" s="859"/>
      <c r="V592" s="859"/>
      <c r="W592" s="859"/>
      <c r="X592" s="859"/>
      <c r="Y592" s="859"/>
      <c r="Z592" s="859"/>
      <c r="AA592" s="859"/>
      <c r="AB592" s="859"/>
      <c r="AC592" s="859"/>
      <c r="AD592" s="859"/>
      <c r="AE592" s="869"/>
      <c r="AF592" s="869"/>
      <c r="AG592" s="869"/>
      <c r="AH592" s="869"/>
      <c r="AI592" s="869"/>
      <c r="AJ592" s="869"/>
      <c r="AK592" s="869"/>
      <c r="AL592" s="869"/>
      <c r="AM592" s="869"/>
      <c r="AN592" s="869"/>
      <c r="AO592" s="869"/>
      <c r="AP592" s="869"/>
      <c r="AQ592" s="869"/>
      <c r="AR592" s="869"/>
      <c r="AS592" s="869"/>
      <c r="AT592" s="869"/>
      <c r="AU592" s="869"/>
      <c r="AV592" s="869"/>
      <c r="AW592" s="869"/>
      <c r="AX592" s="869"/>
    </row>
    <row r="593" spans="8:8" customHeight="1">
      <c r="A593" s="859"/>
      <c r="B593" s="859"/>
      <c r="C593" s="859"/>
      <c r="D593" s="859"/>
      <c r="E593" s="975"/>
      <c r="F593" s="859"/>
      <c r="G593" s="859"/>
      <c r="H593" s="859"/>
      <c r="I593" s="859"/>
      <c r="J593" s="859"/>
      <c r="K593" s="859"/>
      <c r="L593" s="859"/>
      <c r="M593" s="859"/>
      <c r="N593" s="859"/>
      <c r="O593" s="859"/>
      <c r="P593" s="859"/>
      <c r="Q593" s="859"/>
      <c r="R593" s="859"/>
      <c r="S593" s="859"/>
      <c r="T593" s="859"/>
      <c r="U593" s="859"/>
      <c r="V593" s="859"/>
      <c r="W593" s="859"/>
      <c r="X593" s="859"/>
      <c r="Y593" s="859"/>
      <c r="Z593" s="859"/>
      <c r="AA593" s="859"/>
      <c r="AB593" s="859"/>
      <c r="AC593" s="859"/>
      <c r="AD593" s="859"/>
      <c r="AE593" s="869"/>
      <c r="AF593" s="869"/>
      <c r="AG593" s="869"/>
      <c r="AH593" s="869"/>
      <c r="AI593" s="869"/>
      <c r="AJ593" s="869"/>
      <c r="AK593" s="869"/>
      <c r="AL593" s="869"/>
      <c r="AM593" s="869"/>
      <c r="AN593" s="869"/>
      <c r="AO593" s="869"/>
      <c r="AP593" s="869"/>
      <c r="AQ593" s="869"/>
      <c r="AR593" s="869"/>
      <c r="AS593" s="869"/>
      <c r="AT593" s="869"/>
      <c r="AU593" s="869"/>
      <c r="AV593" s="869"/>
      <c r="AW593" s="869"/>
      <c r="AX593" s="869"/>
    </row>
    <row r="594" spans="8:8" customHeight="1">
      <c r="A594" s="859"/>
      <c r="B594" s="859"/>
      <c r="C594" s="859"/>
      <c r="D594" s="859"/>
      <c r="E594" s="975"/>
      <c r="F594" s="859"/>
      <c r="G594" s="859"/>
      <c r="H594" s="859"/>
      <c r="I594" s="859"/>
      <c r="J594" s="859"/>
      <c r="K594" s="859"/>
      <c r="L594" s="859"/>
      <c r="M594" s="859"/>
      <c r="N594" s="859"/>
      <c r="O594" s="859"/>
      <c r="P594" s="859"/>
      <c r="Q594" s="859"/>
      <c r="R594" s="859"/>
      <c r="S594" s="859"/>
      <c r="T594" s="859"/>
      <c r="U594" s="859"/>
      <c r="V594" s="859"/>
      <c r="W594" s="859"/>
      <c r="X594" s="859"/>
      <c r="Y594" s="859"/>
      <c r="Z594" s="859"/>
      <c r="AA594" s="859"/>
      <c r="AB594" s="859"/>
      <c r="AC594" s="859"/>
      <c r="AD594" s="859"/>
      <c r="AE594" s="869"/>
      <c r="AF594" s="869"/>
      <c r="AG594" s="869"/>
      <c r="AH594" s="869"/>
      <c r="AI594" s="869"/>
      <c r="AJ594" s="869"/>
      <c r="AK594" s="869"/>
      <c r="AL594" s="869"/>
      <c r="AM594" s="869"/>
      <c r="AN594" s="869"/>
      <c r="AO594" s="869"/>
      <c r="AP594" s="869"/>
      <c r="AQ594" s="869"/>
      <c r="AR594" s="869"/>
      <c r="AS594" s="869"/>
      <c r="AT594" s="869"/>
      <c r="AU594" s="869"/>
      <c r="AV594" s="869"/>
      <c r="AW594" s="869"/>
      <c r="AX594" s="869"/>
    </row>
    <row r="595" spans="8:8" customHeight="1">
      <c r="A595" s="859"/>
      <c r="B595" s="859"/>
      <c r="C595" s="859"/>
      <c r="D595" s="859"/>
      <c r="E595" s="975"/>
      <c r="F595" s="859"/>
      <c r="G595" s="859"/>
      <c r="H595" s="859"/>
      <c r="I595" s="859"/>
      <c r="J595" s="859"/>
      <c r="K595" s="859"/>
      <c r="L595" s="859"/>
      <c r="M595" s="859"/>
      <c r="N595" s="859"/>
      <c r="O595" s="859"/>
      <c r="P595" s="859"/>
      <c r="Q595" s="859"/>
      <c r="R595" s="859"/>
      <c r="S595" s="859"/>
      <c r="T595" s="859"/>
      <c r="U595" s="859"/>
      <c r="V595" s="859"/>
      <c r="W595" s="859"/>
      <c r="X595" s="859"/>
      <c r="Y595" s="859"/>
      <c r="Z595" s="859"/>
      <c r="AA595" s="859"/>
      <c r="AB595" s="859"/>
      <c r="AC595" s="859"/>
      <c r="AD595" s="859"/>
      <c r="AE595" s="869"/>
      <c r="AF595" s="869"/>
      <c r="AG595" s="869"/>
      <c r="AH595" s="869"/>
      <c r="AI595" s="869"/>
      <c r="AJ595" s="869"/>
      <c r="AK595" s="869"/>
      <c r="AL595" s="869"/>
      <c r="AM595" s="869"/>
      <c r="AN595" s="869"/>
      <c r="AO595" s="869"/>
      <c r="AP595" s="869"/>
      <c r="AQ595" s="869"/>
      <c r="AR595" s="869"/>
      <c r="AS595" s="869"/>
      <c r="AT595" s="869"/>
      <c r="AU595" s="869"/>
      <c r="AV595" s="869"/>
      <c r="AW595" s="869"/>
      <c r="AX595" s="869"/>
    </row>
    <row r="596" spans="8:8" customHeight="1">
      <c r="A596" s="859"/>
      <c r="B596" s="859"/>
      <c r="C596" s="859"/>
      <c r="D596" s="859"/>
      <c r="E596" s="975"/>
      <c r="F596" s="859"/>
      <c r="G596" s="859"/>
      <c r="H596" s="859"/>
      <c r="I596" s="859"/>
      <c r="J596" s="859"/>
      <c r="K596" s="859"/>
      <c r="L596" s="859"/>
      <c r="M596" s="859"/>
      <c r="N596" s="859"/>
      <c r="O596" s="859"/>
      <c r="P596" s="859"/>
      <c r="Q596" s="859"/>
      <c r="R596" s="859"/>
      <c r="S596" s="859"/>
      <c r="T596" s="859"/>
      <c r="U596" s="859"/>
      <c r="V596" s="859"/>
      <c r="W596" s="859"/>
      <c r="X596" s="859"/>
      <c r="Y596" s="859"/>
      <c r="Z596" s="859"/>
      <c r="AA596" s="859"/>
      <c r="AB596" s="859"/>
      <c r="AC596" s="859"/>
      <c r="AD596" s="859"/>
      <c r="AE596" s="869"/>
      <c r="AF596" s="869"/>
      <c r="AG596" s="869"/>
      <c r="AH596" s="869"/>
      <c r="AI596" s="869"/>
      <c r="AJ596" s="869"/>
      <c r="AK596" s="869"/>
      <c r="AL596" s="869"/>
      <c r="AM596" s="869"/>
      <c r="AN596" s="869"/>
      <c r="AO596" s="869"/>
      <c r="AP596" s="869"/>
      <c r="AQ596" s="869"/>
      <c r="AR596" s="869"/>
      <c r="AS596" s="869"/>
      <c r="AT596" s="869"/>
      <c r="AU596" s="869"/>
      <c r="AV596" s="869"/>
      <c r="AW596" s="869"/>
      <c r="AX596" s="869"/>
    </row>
    <row r="597" spans="8:8" customHeight="1">
      <c r="A597" s="859"/>
      <c r="B597" s="859"/>
      <c r="C597" s="859"/>
      <c r="D597" s="859"/>
      <c r="E597" s="975"/>
      <c r="F597" s="859"/>
      <c r="G597" s="859"/>
      <c r="H597" s="859"/>
      <c r="I597" s="859"/>
      <c r="J597" s="859"/>
      <c r="K597" s="859"/>
      <c r="L597" s="859"/>
      <c r="M597" s="859"/>
      <c r="N597" s="859"/>
      <c r="O597" s="859"/>
      <c r="P597" s="859"/>
      <c r="Q597" s="859"/>
      <c r="R597" s="859"/>
      <c r="S597" s="859"/>
      <c r="T597" s="859"/>
      <c r="U597" s="859"/>
      <c r="V597" s="859"/>
      <c r="W597" s="859"/>
      <c r="X597" s="859"/>
      <c r="Y597" s="859"/>
      <c r="Z597" s="859"/>
      <c r="AA597" s="859"/>
      <c r="AB597" s="859"/>
      <c r="AC597" s="859"/>
      <c r="AD597" s="859"/>
      <c r="AE597" s="869"/>
      <c r="AF597" s="869"/>
      <c r="AG597" s="869"/>
      <c r="AH597" s="869"/>
      <c r="AI597" s="869"/>
      <c r="AJ597" s="869"/>
      <c r="AK597" s="869"/>
      <c r="AL597" s="869"/>
      <c r="AM597" s="869"/>
      <c r="AN597" s="869"/>
      <c r="AO597" s="869"/>
      <c r="AP597" s="869"/>
      <c r="AQ597" s="869"/>
      <c r="AR597" s="869"/>
      <c r="AS597" s="869"/>
      <c r="AT597" s="869"/>
      <c r="AU597" s="869"/>
      <c r="AV597" s="869"/>
      <c r="AW597" s="869"/>
      <c r="AX597" s="869"/>
    </row>
    <row r="598" spans="8:8" customHeight="1">
      <c r="A598" s="859"/>
      <c r="B598" s="859"/>
      <c r="C598" s="859"/>
      <c r="D598" s="859"/>
      <c r="E598" s="975"/>
      <c r="F598" s="859"/>
      <c r="G598" s="859"/>
      <c r="H598" s="859"/>
      <c r="I598" s="859"/>
      <c r="J598" s="859"/>
      <c r="K598" s="859"/>
      <c r="L598" s="859"/>
      <c r="M598" s="859"/>
      <c r="N598" s="859"/>
      <c r="O598" s="859"/>
      <c r="P598" s="859"/>
      <c r="Q598" s="859"/>
      <c r="R598" s="859"/>
      <c r="S598" s="859"/>
      <c r="T598" s="859"/>
      <c r="U598" s="859"/>
      <c r="V598" s="859"/>
      <c r="W598" s="859"/>
      <c r="X598" s="859"/>
      <c r="Y598" s="859"/>
      <c r="Z598" s="859"/>
      <c r="AA598" s="859"/>
      <c r="AB598" s="859"/>
      <c r="AC598" s="859"/>
      <c r="AD598" s="859"/>
      <c r="AE598" s="869"/>
      <c r="AF598" s="869"/>
      <c r="AG598" s="869"/>
      <c r="AH598" s="869"/>
      <c r="AI598" s="869"/>
      <c r="AJ598" s="869"/>
      <c r="AK598" s="869"/>
      <c r="AL598" s="869"/>
      <c r="AM598" s="869"/>
      <c r="AN598" s="869"/>
      <c r="AO598" s="869"/>
      <c r="AP598" s="869"/>
      <c r="AQ598" s="869"/>
      <c r="AR598" s="869"/>
      <c r="AS598" s="869"/>
      <c r="AT598" s="869"/>
      <c r="AU598" s="869"/>
      <c r="AV598" s="869"/>
      <c r="AW598" s="869"/>
      <c r="AX598" s="869"/>
    </row>
    <row r="599" spans="8:8" customHeight="1">
      <c r="A599" s="859"/>
      <c r="B599" s="859"/>
      <c r="C599" s="859"/>
      <c r="D599" s="859"/>
      <c r="E599" s="975"/>
      <c r="F599" s="859"/>
      <c r="G599" s="859"/>
      <c r="H599" s="859"/>
      <c r="I599" s="859"/>
      <c r="J599" s="859"/>
      <c r="K599" s="859"/>
      <c r="L599" s="859"/>
      <c r="M599" s="859"/>
      <c r="N599" s="859"/>
      <c r="O599" s="859"/>
      <c r="P599" s="859"/>
      <c r="Q599" s="859"/>
      <c r="R599" s="859"/>
      <c r="S599" s="859"/>
      <c r="T599" s="859"/>
      <c r="U599" s="859"/>
      <c r="V599" s="859"/>
      <c r="W599" s="859"/>
      <c r="X599" s="859"/>
      <c r="Y599" s="859"/>
      <c r="Z599" s="859"/>
      <c r="AA599" s="859"/>
      <c r="AB599" s="859"/>
      <c r="AC599" s="859"/>
      <c r="AD599" s="859"/>
      <c r="AE599" s="869"/>
      <c r="AF599" s="869"/>
      <c r="AG599" s="869"/>
      <c r="AH599" s="869"/>
      <c r="AI599" s="869"/>
      <c r="AJ599" s="869"/>
      <c r="AK599" s="869"/>
      <c r="AL599" s="869"/>
      <c r="AM599" s="869"/>
      <c r="AN599" s="869"/>
      <c r="AO599" s="869"/>
      <c r="AP599" s="869"/>
      <c r="AQ599" s="869"/>
      <c r="AR599" s="869"/>
      <c r="AS599" s="869"/>
      <c r="AT599" s="869"/>
      <c r="AU599" s="869"/>
      <c r="AV599" s="869"/>
      <c r="AW599" s="869"/>
      <c r="AX599" s="869"/>
    </row>
    <row r="600" spans="8:8" customHeight="1">
      <c r="A600" s="859"/>
      <c r="B600" s="859"/>
      <c r="C600" s="859"/>
      <c r="D600" s="859"/>
      <c r="E600" s="975"/>
      <c r="F600" s="859"/>
      <c r="G600" s="859"/>
      <c r="H600" s="859"/>
      <c r="I600" s="859"/>
      <c r="J600" s="859"/>
      <c r="K600" s="859"/>
      <c r="L600" s="859"/>
      <c r="M600" s="859"/>
      <c r="N600" s="859"/>
      <c r="O600" s="859"/>
      <c r="P600" s="859"/>
      <c r="Q600" s="859"/>
      <c r="R600" s="859"/>
      <c r="S600" s="859"/>
      <c r="T600" s="859"/>
      <c r="U600" s="859"/>
      <c r="V600" s="859"/>
      <c r="W600" s="859"/>
      <c r="X600" s="859"/>
      <c r="Y600" s="859"/>
      <c r="Z600" s="859"/>
      <c r="AA600" s="859"/>
      <c r="AB600" s="859"/>
      <c r="AC600" s="859"/>
      <c r="AD600" s="859"/>
      <c r="AE600" s="869"/>
      <c r="AF600" s="869"/>
      <c r="AG600" s="869"/>
      <c r="AH600" s="869"/>
      <c r="AI600" s="869"/>
      <c r="AJ600" s="869"/>
      <c r="AK600" s="869"/>
      <c r="AL600" s="869"/>
      <c r="AM600" s="869"/>
      <c r="AN600" s="869"/>
      <c r="AO600" s="869"/>
      <c r="AP600" s="869"/>
      <c r="AQ600" s="869"/>
      <c r="AR600" s="869"/>
      <c r="AS600" s="869"/>
      <c r="AT600" s="869"/>
      <c r="AU600" s="869"/>
      <c r="AV600" s="869"/>
      <c r="AW600" s="869"/>
      <c r="AX600" s="869"/>
    </row>
    <row r="601" spans="8:8" customHeight="1">
      <c r="A601" s="859"/>
      <c r="B601" s="859"/>
      <c r="C601" s="859"/>
      <c r="D601" s="859"/>
      <c r="E601" s="975"/>
      <c r="F601" s="859"/>
      <c r="G601" s="859"/>
      <c r="H601" s="859"/>
      <c r="I601" s="859"/>
      <c r="J601" s="859"/>
      <c r="K601" s="859"/>
      <c r="L601" s="859"/>
      <c r="M601" s="859"/>
      <c r="N601" s="859"/>
      <c r="O601" s="859"/>
      <c r="P601" s="859"/>
      <c r="Q601" s="859"/>
      <c r="R601" s="859"/>
      <c r="S601" s="859"/>
      <c r="T601" s="859"/>
      <c r="U601" s="859"/>
      <c r="V601" s="859"/>
      <c r="W601" s="859"/>
      <c r="X601" s="859"/>
      <c r="Y601" s="859"/>
      <c r="Z601" s="859"/>
      <c r="AA601" s="859"/>
      <c r="AB601" s="859"/>
      <c r="AC601" s="859"/>
      <c r="AD601" s="859"/>
      <c r="AE601" s="869"/>
      <c r="AF601" s="869"/>
      <c r="AG601" s="869"/>
      <c r="AH601" s="869"/>
      <c r="AI601" s="869"/>
      <c r="AJ601" s="869"/>
      <c r="AK601" s="869"/>
      <c r="AL601" s="869"/>
      <c r="AM601" s="869"/>
      <c r="AN601" s="869"/>
      <c r="AO601" s="869"/>
      <c r="AP601" s="869"/>
      <c r="AQ601" s="869"/>
      <c r="AR601" s="869"/>
      <c r="AS601" s="869"/>
      <c r="AT601" s="869"/>
      <c r="AU601" s="869"/>
      <c r="AV601" s="869"/>
      <c r="AW601" s="869"/>
      <c r="AX601" s="869"/>
    </row>
    <row r="602" spans="8:8" customHeight="1">
      <c r="A602" s="859"/>
      <c r="B602" s="859"/>
      <c r="C602" s="859"/>
      <c r="D602" s="859"/>
      <c r="E602" s="975"/>
      <c r="F602" s="859"/>
      <c r="G602" s="859"/>
      <c r="H602" s="859"/>
      <c r="I602" s="859"/>
      <c r="J602" s="859"/>
      <c r="K602" s="859"/>
      <c r="L602" s="859"/>
      <c r="M602" s="859"/>
      <c r="N602" s="859"/>
      <c r="O602" s="859"/>
      <c r="P602" s="859"/>
      <c r="Q602" s="859"/>
      <c r="R602" s="859"/>
      <c r="S602" s="859"/>
      <c r="T602" s="859"/>
      <c r="U602" s="859"/>
      <c r="V602" s="859"/>
      <c r="W602" s="859"/>
      <c r="X602" s="859"/>
      <c r="Y602" s="859"/>
      <c r="Z602" s="859"/>
      <c r="AA602" s="859"/>
      <c r="AB602" s="859"/>
      <c r="AC602" s="859"/>
      <c r="AD602" s="859"/>
      <c r="AE602" s="869"/>
      <c r="AF602" s="869"/>
      <c r="AG602" s="869"/>
      <c r="AH602" s="869"/>
      <c r="AI602" s="869"/>
      <c r="AJ602" s="869"/>
      <c r="AK602" s="869"/>
      <c r="AL602" s="869"/>
      <c r="AM602" s="869"/>
      <c r="AN602" s="869"/>
      <c r="AO602" s="869"/>
      <c r="AP602" s="869"/>
      <c r="AQ602" s="869"/>
      <c r="AR602" s="869"/>
      <c r="AS602" s="869"/>
      <c r="AT602" s="869"/>
      <c r="AU602" s="869"/>
      <c r="AV602" s="869"/>
      <c r="AW602" s="869"/>
      <c r="AX602" s="869"/>
    </row>
    <row r="603" spans="8:8" customHeight="1">
      <c r="A603" s="859"/>
      <c r="B603" s="859"/>
      <c r="C603" s="859"/>
      <c r="D603" s="859"/>
      <c r="E603" s="975"/>
      <c r="F603" s="859"/>
      <c r="G603" s="859"/>
      <c r="H603" s="859"/>
      <c r="I603" s="859"/>
      <c r="J603" s="859"/>
      <c r="K603" s="859"/>
      <c r="L603" s="859"/>
      <c r="M603" s="859"/>
      <c r="N603" s="859"/>
      <c r="O603" s="859"/>
      <c r="P603" s="859"/>
      <c r="Q603" s="859"/>
      <c r="R603" s="859"/>
      <c r="S603" s="859"/>
      <c r="T603" s="859"/>
      <c r="U603" s="859"/>
      <c r="V603" s="859"/>
      <c r="W603" s="859"/>
      <c r="X603" s="859"/>
      <c r="Y603" s="859"/>
      <c r="Z603" s="859"/>
      <c r="AA603" s="859"/>
      <c r="AB603" s="859"/>
      <c r="AC603" s="859"/>
      <c r="AD603" s="859"/>
      <c r="AE603" s="869"/>
      <c r="AF603" s="869"/>
      <c r="AG603" s="869"/>
      <c r="AH603" s="869"/>
      <c r="AI603" s="869"/>
      <c r="AJ603" s="869"/>
      <c r="AK603" s="869"/>
      <c r="AL603" s="869"/>
      <c r="AM603" s="869"/>
      <c r="AN603" s="869"/>
      <c r="AO603" s="869"/>
      <c r="AP603" s="869"/>
      <c r="AQ603" s="869"/>
      <c r="AR603" s="869"/>
      <c r="AS603" s="869"/>
      <c r="AT603" s="869"/>
      <c r="AU603" s="869"/>
      <c r="AV603" s="869"/>
      <c r="AW603" s="869"/>
      <c r="AX603" s="869"/>
    </row>
    <row r="604" spans="8:8" customHeight="1">
      <c r="A604" s="859"/>
      <c r="B604" s="859"/>
      <c r="C604" s="859"/>
      <c r="D604" s="859"/>
      <c r="E604" s="975"/>
      <c r="F604" s="859"/>
      <c r="G604" s="859"/>
      <c r="H604" s="859"/>
      <c r="I604" s="859"/>
      <c r="J604" s="859"/>
      <c r="K604" s="859"/>
      <c r="L604" s="859"/>
      <c r="M604" s="859"/>
      <c r="N604" s="859"/>
      <c r="O604" s="859"/>
      <c r="P604" s="859"/>
      <c r="Q604" s="859"/>
      <c r="R604" s="859"/>
      <c r="S604" s="859"/>
      <c r="T604" s="859"/>
      <c r="U604" s="859"/>
      <c r="V604" s="859"/>
      <c r="W604" s="859"/>
      <c r="X604" s="859"/>
      <c r="Y604" s="859"/>
      <c r="Z604" s="859"/>
      <c r="AA604" s="859"/>
      <c r="AB604" s="859"/>
      <c r="AC604" s="859"/>
      <c r="AD604" s="859"/>
      <c r="AE604" s="869"/>
      <c r="AF604" s="869"/>
      <c r="AG604" s="869"/>
      <c r="AH604" s="869"/>
      <c r="AI604" s="869"/>
      <c r="AJ604" s="869"/>
      <c r="AK604" s="869"/>
      <c r="AL604" s="869"/>
      <c r="AM604" s="869"/>
      <c r="AN604" s="869"/>
      <c r="AO604" s="869"/>
      <c r="AP604" s="869"/>
      <c r="AQ604" s="869"/>
      <c r="AR604" s="869"/>
      <c r="AS604" s="869"/>
      <c r="AT604" s="869"/>
      <c r="AU604" s="869"/>
      <c r="AV604" s="869"/>
      <c r="AW604" s="869"/>
      <c r="AX604" s="869"/>
    </row>
    <row r="605" spans="8:8" customHeight="1">
      <c r="A605" s="859"/>
      <c r="B605" s="859"/>
      <c r="C605" s="859"/>
      <c r="D605" s="859"/>
      <c r="E605" s="975"/>
      <c r="F605" s="859"/>
      <c r="G605" s="859"/>
      <c r="H605" s="859"/>
      <c r="I605" s="859"/>
      <c r="J605" s="859"/>
      <c r="K605" s="859"/>
      <c r="L605" s="859"/>
      <c r="M605" s="859"/>
      <c r="N605" s="859"/>
      <c r="O605" s="859"/>
      <c r="P605" s="859"/>
      <c r="Q605" s="859"/>
      <c r="R605" s="859"/>
      <c r="S605" s="859"/>
      <c r="T605" s="859"/>
      <c r="U605" s="859"/>
      <c r="V605" s="859"/>
      <c r="W605" s="859"/>
      <c r="X605" s="859"/>
      <c r="Y605" s="859"/>
      <c r="Z605" s="859"/>
      <c r="AA605" s="859"/>
      <c r="AB605" s="859"/>
      <c r="AC605" s="859"/>
      <c r="AD605" s="859"/>
      <c r="AE605" s="869"/>
      <c r="AF605" s="869"/>
      <c r="AG605" s="869"/>
      <c r="AH605" s="869"/>
      <c r="AI605" s="869"/>
      <c r="AJ605" s="869"/>
      <c r="AK605" s="869"/>
      <c r="AL605" s="869"/>
      <c r="AM605" s="869"/>
      <c r="AN605" s="869"/>
      <c r="AO605" s="869"/>
      <c r="AP605" s="869"/>
      <c r="AQ605" s="869"/>
      <c r="AR605" s="869"/>
      <c r="AS605" s="869"/>
      <c r="AT605" s="869"/>
      <c r="AU605" s="869"/>
      <c r="AV605" s="869"/>
      <c r="AW605" s="869"/>
      <c r="AX605" s="869"/>
    </row>
    <row r="606" spans="8:8" customHeight="1">
      <c r="A606" s="859"/>
      <c r="B606" s="859"/>
      <c r="C606" s="859"/>
      <c r="D606" s="859"/>
      <c r="E606" s="975"/>
      <c r="F606" s="859"/>
      <c r="G606" s="859"/>
      <c r="H606" s="859"/>
      <c r="I606" s="859"/>
      <c r="J606" s="859"/>
      <c r="K606" s="859"/>
      <c r="L606" s="859"/>
      <c r="M606" s="859"/>
      <c r="N606" s="859"/>
      <c r="O606" s="859"/>
      <c r="P606" s="859"/>
      <c r="Q606" s="859"/>
      <c r="R606" s="859"/>
      <c r="S606" s="859"/>
      <c r="T606" s="859"/>
      <c r="U606" s="859"/>
      <c r="V606" s="859"/>
      <c r="W606" s="859"/>
      <c r="X606" s="859"/>
      <c r="Y606" s="859"/>
      <c r="Z606" s="859"/>
      <c r="AA606" s="859"/>
      <c r="AB606" s="859"/>
      <c r="AC606" s="859"/>
      <c r="AD606" s="859"/>
      <c r="AE606" s="869"/>
      <c r="AF606" s="869"/>
      <c r="AG606" s="869"/>
      <c r="AH606" s="869"/>
      <c r="AI606" s="869"/>
      <c r="AJ606" s="869"/>
      <c r="AK606" s="869"/>
      <c r="AL606" s="869"/>
      <c r="AM606" s="869"/>
      <c r="AN606" s="869"/>
      <c r="AO606" s="869"/>
      <c r="AP606" s="869"/>
      <c r="AQ606" s="869"/>
      <c r="AR606" s="869"/>
      <c r="AS606" s="869"/>
      <c r="AT606" s="869"/>
      <c r="AU606" s="869"/>
      <c r="AV606" s="869"/>
      <c r="AW606" s="869"/>
      <c r="AX606" s="869"/>
    </row>
    <row r="607" spans="8:8" customHeight="1">
      <c r="A607" s="859"/>
      <c r="B607" s="859"/>
      <c r="C607" s="859"/>
      <c r="D607" s="859"/>
      <c r="E607" s="975"/>
      <c r="F607" s="859"/>
      <c r="G607" s="859"/>
      <c r="H607" s="859"/>
      <c r="I607" s="859"/>
      <c r="J607" s="859"/>
      <c r="K607" s="859"/>
      <c r="L607" s="859"/>
      <c r="M607" s="859"/>
      <c r="N607" s="859"/>
      <c r="O607" s="859"/>
      <c r="P607" s="859"/>
      <c r="Q607" s="859"/>
      <c r="R607" s="859"/>
      <c r="S607" s="859"/>
      <c r="T607" s="859"/>
      <c r="U607" s="859"/>
      <c r="V607" s="859"/>
      <c r="W607" s="859"/>
      <c r="X607" s="859"/>
      <c r="Y607" s="859"/>
      <c r="Z607" s="859"/>
      <c r="AA607" s="859"/>
      <c r="AB607" s="859"/>
      <c r="AC607" s="859"/>
      <c r="AD607" s="859"/>
      <c r="AE607" s="869"/>
      <c r="AF607" s="869"/>
      <c r="AG607" s="869"/>
      <c r="AH607" s="869"/>
      <c r="AI607" s="869"/>
      <c r="AJ607" s="869"/>
      <c r="AK607" s="869"/>
      <c r="AL607" s="869"/>
      <c r="AM607" s="869"/>
      <c r="AN607" s="869"/>
      <c r="AO607" s="869"/>
      <c r="AP607" s="869"/>
      <c r="AQ607" s="869"/>
      <c r="AR607" s="869"/>
      <c r="AS607" s="869"/>
      <c r="AT607" s="869"/>
      <c r="AU607" s="869"/>
      <c r="AV607" s="869"/>
      <c r="AW607" s="869"/>
      <c r="AX607" s="869"/>
    </row>
    <row r="608" spans="8:8" customHeight="1">
      <c r="A608" s="859"/>
      <c r="B608" s="859"/>
      <c r="C608" s="859"/>
      <c r="D608" s="859"/>
      <c r="E608" s="975"/>
      <c r="F608" s="859"/>
      <c r="G608" s="859"/>
      <c r="H608" s="859"/>
      <c r="I608" s="859"/>
      <c r="J608" s="859"/>
      <c r="K608" s="859"/>
      <c r="L608" s="859"/>
      <c r="M608" s="859"/>
      <c r="N608" s="859"/>
      <c r="O608" s="859"/>
      <c r="P608" s="859"/>
      <c r="Q608" s="859"/>
      <c r="R608" s="859"/>
      <c r="S608" s="859"/>
      <c r="T608" s="859"/>
      <c r="U608" s="859"/>
      <c r="V608" s="859"/>
      <c r="W608" s="859"/>
      <c r="X608" s="859"/>
      <c r="Y608" s="859"/>
      <c r="Z608" s="859"/>
      <c r="AA608" s="859"/>
      <c r="AB608" s="859"/>
      <c r="AC608" s="859"/>
      <c r="AD608" s="859"/>
      <c r="AE608" s="869"/>
      <c r="AF608" s="869"/>
      <c r="AG608" s="869"/>
      <c r="AH608" s="869"/>
      <c r="AI608" s="869"/>
      <c r="AJ608" s="869"/>
      <c r="AK608" s="869"/>
      <c r="AL608" s="869"/>
      <c r="AM608" s="869"/>
      <c r="AN608" s="869"/>
      <c r="AO608" s="869"/>
      <c r="AP608" s="869"/>
      <c r="AQ608" s="869"/>
      <c r="AR608" s="869"/>
      <c r="AS608" s="869"/>
      <c r="AT608" s="869"/>
      <c r="AU608" s="869"/>
      <c r="AV608" s="869"/>
      <c r="AW608" s="869"/>
      <c r="AX608" s="869"/>
    </row>
    <row r="609" spans="8:8" customHeight="1">
      <c r="A609" s="859"/>
      <c r="B609" s="859"/>
      <c r="C609" s="859"/>
      <c r="D609" s="859"/>
      <c r="E609" s="975"/>
      <c r="F609" s="859"/>
      <c r="G609" s="859"/>
      <c r="H609" s="859"/>
      <c r="I609" s="859"/>
      <c r="J609" s="859"/>
      <c r="K609" s="859"/>
      <c r="L609" s="859"/>
      <c r="M609" s="859"/>
      <c r="N609" s="859"/>
      <c r="O609" s="859"/>
      <c r="P609" s="859"/>
      <c r="Q609" s="859"/>
      <c r="R609" s="859"/>
      <c r="S609" s="859"/>
      <c r="T609" s="859"/>
      <c r="U609" s="859"/>
      <c r="V609" s="859"/>
      <c r="W609" s="859"/>
      <c r="X609" s="859"/>
      <c r="Y609" s="859"/>
      <c r="Z609" s="859"/>
      <c r="AA609" s="859"/>
      <c r="AB609" s="859"/>
      <c r="AC609" s="859"/>
      <c r="AD609" s="859"/>
      <c r="AE609" s="869"/>
      <c r="AF609" s="869"/>
      <c r="AG609" s="869"/>
      <c r="AH609" s="869"/>
      <c r="AI609" s="869"/>
      <c r="AJ609" s="869"/>
      <c r="AK609" s="869"/>
      <c r="AL609" s="869"/>
      <c r="AM609" s="869"/>
      <c r="AN609" s="869"/>
      <c r="AO609" s="869"/>
      <c r="AP609" s="869"/>
      <c r="AQ609" s="869"/>
      <c r="AR609" s="869"/>
      <c r="AS609" s="869"/>
      <c r="AT609" s="869"/>
      <c r="AU609" s="869"/>
      <c r="AV609" s="869"/>
      <c r="AW609" s="869"/>
      <c r="AX609" s="869"/>
    </row>
    <row r="610" spans="8:8" customHeight="1">
      <c r="A610" s="859"/>
      <c r="B610" s="859"/>
      <c r="C610" s="859"/>
      <c r="D610" s="859"/>
      <c r="E610" s="975"/>
      <c r="F610" s="859"/>
      <c r="G610" s="859"/>
      <c r="H610" s="859"/>
      <c r="I610" s="859"/>
      <c r="J610" s="859"/>
      <c r="K610" s="859"/>
      <c r="L610" s="859"/>
      <c r="M610" s="859"/>
      <c r="N610" s="859"/>
      <c r="O610" s="859"/>
      <c r="P610" s="859"/>
      <c r="Q610" s="859"/>
      <c r="R610" s="859"/>
      <c r="S610" s="859"/>
      <c r="T610" s="859"/>
      <c r="U610" s="859"/>
      <c r="V610" s="859"/>
      <c r="W610" s="859"/>
      <c r="X610" s="859"/>
      <c r="Y610" s="859"/>
      <c r="Z610" s="859"/>
      <c r="AA610" s="859"/>
      <c r="AB610" s="859"/>
      <c r="AC610" s="859"/>
      <c r="AD610" s="859"/>
      <c r="AE610" s="869"/>
      <c r="AF610" s="869"/>
      <c r="AG610" s="869"/>
      <c r="AH610" s="869"/>
      <c r="AI610" s="869"/>
      <c r="AJ610" s="869"/>
      <c r="AK610" s="869"/>
      <c r="AL610" s="869"/>
      <c r="AM610" s="869"/>
      <c r="AN610" s="869"/>
      <c r="AO610" s="869"/>
      <c r="AP610" s="869"/>
      <c r="AQ610" s="869"/>
      <c r="AR610" s="869"/>
      <c r="AS610" s="869"/>
      <c r="AT610" s="869"/>
      <c r="AU610" s="869"/>
      <c r="AV610" s="869"/>
      <c r="AW610" s="869"/>
      <c r="AX610" s="869"/>
    </row>
    <row r="611" spans="8:8" customHeight="1">
      <c r="A611" s="859"/>
      <c r="B611" s="859"/>
      <c r="C611" s="859"/>
      <c r="D611" s="859"/>
      <c r="E611" s="975"/>
      <c r="F611" s="859"/>
      <c r="G611" s="859"/>
      <c r="H611" s="859"/>
      <c r="I611" s="859"/>
      <c r="J611" s="859"/>
      <c r="K611" s="859"/>
      <c r="L611" s="859"/>
      <c r="M611" s="859"/>
      <c r="N611" s="859"/>
      <c r="O611" s="859"/>
      <c r="P611" s="859"/>
      <c r="Q611" s="859"/>
      <c r="R611" s="859"/>
      <c r="S611" s="859"/>
      <c r="T611" s="859"/>
      <c r="U611" s="859"/>
      <c r="V611" s="859"/>
      <c r="W611" s="859"/>
      <c r="X611" s="859"/>
      <c r="Y611" s="859"/>
      <c r="Z611" s="859"/>
      <c r="AA611" s="859"/>
      <c r="AB611" s="859"/>
      <c r="AC611" s="859"/>
      <c r="AD611" s="859"/>
      <c r="AE611" s="869"/>
      <c r="AF611" s="869"/>
      <c r="AG611" s="869"/>
      <c r="AH611" s="869"/>
      <c r="AI611" s="869"/>
      <c r="AJ611" s="869"/>
      <c r="AK611" s="869"/>
      <c r="AL611" s="869"/>
      <c r="AM611" s="869"/>
      <c r="AN611" s="869"/>
      <c r="AO611" s="869"/>
      <c r="AP611" s="869"/>
      <c r="AQ611" s="869"/>
      <c r="AR611" s="869"/>
      <c r="AS611" s="869"/>
      <c r="AT611" s="869"/>
      <c r="AU611" s="869"/>
      <c r="AV611" s="869"/>
      <c r="AW611" s="869"/>
      <c r="AX611" s="869"/>
    </row>
    <row r="612" spans="8:8" customHeight="1">
      <c r="A612" s="859"/>
      <c r="B612" s="859"/>
      <c r="C612" s="859"/>
      <c r="D612" s="859"/>
      <c r="E612" s="975"/>
      <c r="F612" s="859"/>
      <c r="G612" s="859"/>
      <c r="H612" s="859"/>
      <c r="I612" s="859"/>
      <c r="J612" s="859"/>
      <c r="K612" s="859"/>
      <c r="L612" s="859"/>
      <c r="M612" s="859"/>
      <c r="N612" s="859"/>
      <c r="O612" s="859"/>
      <c r="P612" s="859"/>
      <c r="Q612" s="859"/>
      <c r="R612" s="859"/>
      <c r="S612" s="859"/>
      <c r="T612" s="859"/>
      <c r="U612" s="859"/>
      <c r="V612" s="859"/>
      <c r="W612" s="859"/>
      <c r="X612" s="859"/>
      <c r="Y612" s="859"/>
      <c r="Z612" s="859"/>
      <c r="AA612" s="859"/>
      <c r="AB612" s="859"/>
      <c r="AC612" s="859"/>
      <c r="AD612" s="859"/>
      <c r="AE612" s="869"/>
      <c r="AF612" s="869"/>
      <c r="AG612" s="869"/>
      <c r="AH612" s="869"/>
      <c r="AI612" s="869"/>
      <c r="AJ612" s="869"/>
      <c r="AK612" s="869"/>
      <c r="AL612" s="869"/>
      <c r="AM612" s="869"/>
      <c r="AN612" s="869"/>
      <c r="AO612" s="869"/>
      <c r="AP612" s="869"/>
      <c r="AQ612" s="869"/>
      <c r="AR612" s="869"/>
      <c r="AS612" s="869"/>
      <c r="AT612" s="869"/>
      <c r="AU612" s="869"/>
      <c r="AV612" s="869"/>
      <c r="AW612" s="869"/>
      <c r="AX612" s="869"/>
    </row>
    <row r="613" spans="8:8" customHeight="1">
      <c r="A613" s="859"/>
      <c r="B613" s="859"/>
      <c r="C613" s="859"/>
      <c r="D613" s="859"/>
      <c r="E613" s="975"/>
      <c r="F613" s="859"/>
      <c r="G613" s="859"/>
      <c r="H613" s="859"/>
      <c r="I613" s="859"/>
      <c r="J613" s="859"/>
      <c r="K613" s="859"/>
      <c r="L613" s="859"/>
      <c r="M613" s="859"/>
      <c r="N613" s="859"/>
      <c r="O613" s="859"/>
      <c r="P613" s="859"/>
      <c r="Q613" s="859"/>
      <c r="R613" s="859"/>
      <c r="S613" s="859"/>
      <c r="T613" s="859"/>
      <c r="U613" s="859"/>
      <c r="V613" s="859"/>
      <c r="W613" s="859"/>
      <c r="X613" s="859"/>
      <c r="Y613" s="859"/>
      <c r="Z613" s="859"/>
      <c r="AA613" s="859"/>
      <c r="AB613" s="859"/>
      <c r="AC613" s="859"/>
      <c r="AD613" s="859"/>
      <c r="AE613" s="869"/>
      <c r="AF613" s="869"/>
      <c r="AG613" s="869"/>
      <c r="AH613" s="869"/>
      <c r="AI613" s="869"/>
      <c r="AJ613" s="869"/>
      <c r="AK613" s="869"/>
      <c r="AL613" s="869"/>
      <c r="AM613" s="869"/>
      <c r="AN613" s="869"/>
      <c r="AO613" s="869"/>
      <c r="AP613" s="869"/>
      <c r="AQ613" s="869"/>
      <c r="AR613" s="869"/>
      <c r="AS613" s="869"/>
      <c r="AT613" s="869"/>
      <c r="AU613" s="869"/>
      <c r="AV613" s="869"/>
      <c r="AW613" s="869"/>
      <c r="AX613" s="869"/>
    </row>
    <row r="614" spans="8:8" customHeight="1">
      <c r="A614" s="859"/>
      <c r="B614" s="859"/>
      <c r="C614" s="859"/>
      <c r="D614" s="859"/>
      <c r="E614" s="975"/>
      <c r="F614" s="859"/>
      <c r="G614" s="859"/>
      <c r="H614" s="859"/>
      <c r="I614" s="859"/>
      <c r="J614" s="859"/>
      <c r="K614" s="859"/>
      <c r="L614" s="859"/>
      <c r="M614" s="859"/>
      <c r="N614" s="859"/>
      <c r="O614" s="859"/>
      <c r="P614" s="859"/>
      <c r="Q614" s="859"/>
      <c r="R614" s="859"/>
      <c r="S614" s="859"/>
      <c r="T614" s="859"/>
      <c r="U614" s="859"/>
      <c r="V614" s="859"/>
      <c r="W614" s="859"/>
      <c r="X614" s="859"/>
      <c r="Y614" s="859"/>
      <c r="Z614" s="859"/>
      <c r="AA614" s="859"/>
      <c r="AB614" s="859"/>
      <c r="AC614" s="859"/>
      <c r="AD614" s="859"/>
      <c r="AE614" s="869"/>
      <c r="AF614" s="869"/>
      <c r="AG614" s="869"/>
      <c r="AH614" s="869"/>
      <c r="AI614" s="869"/>
      <c r="AJ614" s="869"/>
      <c r="AK614" s="869"/>
      <c r="AL614" s="869"/>
      <c r="AM614" s="869"/>
      <c r="AN614" s="869"/>
      <c r="AO614" s="869"/>
      <c r="AP614" s="869"/>
      <c r="AQ614" s="869"/>
      <c r="AR614" s="869"/>
      <c r="AS614" s="869"/>
      <c r="AT614" s="869"/>
      <c r="AU614" s="869"/>
      <c r="AV614" s="869"/>
      <c r="AW614" s="869"/>
      <c r="AX614" s="869"/>
    </row>
    <row r="615" spans="8:8" customHeight="1">
      <c r="A615" s="859"/>
      <c r="B615" s="859"/>
      <c r="C615" s="859"/>
      <c r="D615" s="859"/>
      <c r="E615" s="975"/>
      <c r="F615" s="859"/>
      <c r="G615" s="859"/>
      <c r="H615" s="859"/>
      <c r="I615" s="859"/>
      <c r="J615" s="859"/>
      <c r="K615" s="859"/>
      <c r="L615" s="859"/>
      <c r="M615" s="859"/>
      <c r="N615" s="859"/>
      <c r="O615" s="859"/>
      <c r="P615" s="859"/>
      <c r="Q615" s="859"/>
      <c r="R615" s="859"/>
      <c r="S615" s="859"/>
      <c r="T615" s="859"/>
      <c r="U615" s="859"/>
      <c r="V615" s="859"/>
      <c r="W615" s="859"/>
      <c r="X615" s="859"/>
      <c r="Y615" s="859"/>
      <c r="Z615" s="859"/>
      <c r="AA615" s="859"/>
      <c r="AB615" s="859"/>
      <c r="AC615" s="859"/>
      <c r="AD615" s="859"/>
      <c r="AE615" s="869"/>
      <c r="AF615" s="869"/>
      <c r="AG615" s="869"/>
      <c r="AH615" s="869"/>
      <c r="AI615" s="869"/>
      <c r="AJ615" s="869"/>
      <c r="AK615" s="869"/>
      <c r="AL615" s="869"/>
      <c r="AM615" s="869"/>
      <c r="AN615" s="869"/>
      <c r="AO615" s="869"/>
      <c r="AP615" s="869"/>
      <c r="AQ615" s="869"/>
      <c r="AR615" s="869"/>
      <c r="AS615" s="869"/>
      <c r="AT615" s="869"/>
      <c r="AU615" s="869"/>
      <c r="AV615" s="869"/>
      <c r="AW615" s="869"/>
      <c r="AX615" s="869"/>
    </row>
    <row r="616" spans="8:8" customHeight="1">
      <c r="A616" s="859"/>
      <c r="B616" s="859"/>
      <c r="C616" s="859"/>
      <c r="D616" s="859"/>
      <c r="E616" s="975"/>
      <c r="F616" s="859"/>
      <c r="G616" s="859"/>
      <c r="H616" s="859"/>
      <c r="I616" s="859"/>
      <c r="J616" s="859"/>
      <c r="K616" s="859"/>
      <c r="L616" s="859"/>
      <c r="M616" s="859"/>
      <c r="N616" s="859"/>
      <c r="O616" s="859"/>
      <c r="P616" s="859"/>
      <c r="Q616" s="859"/>
      <c r="R616" s="859"/>
      <c r="S616" s="859"/>
      <c r="T616" s="859"/>
      <c r="U616" s="859"/>
      <c r="V616" s="859"/>
      <c r="W616" s="859"/>
      <c r="X616" s="859"/>
      <c r="Y616" s="859"/>
      <c r="Z616" s="859"/>
      <c r="AA616" s="859"/>
      <c r="AB616" s="859"/>
      <c r="AC616" s="859"/>
      <c r="AD616" s="859"/>
      <c r="AE616" s="869"/>
      <c r="AF616" s="869"/>
      <c r="AG616" s="869"/>
      <c r="AH616" s="869"/>
      <c r="AI616" s="869"/>
      <c r="AJ616" s="869"/>
      <c r="AK616" s="869"/>
      <c r="AL616" s="869"/>
      <c r="AM616" s="869"/>
      <c r="AN616" s="869"/>
      <c r="AO616" s="869"/>
      <c r="AP616" s="869"/>
      <c r="AQ616" s="869"/>
      <c r="AR616" s="869"/>
      <c r="AS616" s="869"/>
      <c r="AT616" s="869"/>
      <c r="AU616" s="869"/>
      <c r="AV616" s="869"/>
      <c r="AW616" s="869"/>
      <c r="AX616" s="869"/>
    </row>
    <row r="617" spans="8:8" customHeight="1">
      <c r="A617" s="859"/>
      <c r="B617" s="859"/>
      <c r="C617" s="859"/>
      <c r="D617" s="859"/>
      <c r="E617" s="975"/>
      <c r="F617" s="859"/>
      <c r="G617" s="859"/>
      <c r="H617" s="859"/>
      <c r="I617" s="859"/>
      <c r="J617" s="859"/>
      <c r="K617" s="859"/>
      <c r="L617" s="859"/>
      <c r="M617" s="859"/>
      <c r="N617" s="859"/>
      <c r="O617" s="859"/>
      <c r="P617" s="859"/>
      <c r="Q617" s="859"/>
      <c r="R617" s="859"/>
      <c r="S617" s="859"/>
      <c r="T617" s="859"/>
      <c r="U617" s="859"/>
      <c r="V617" s="859"/>
      <c r="W617" s="859"/>
      <c r="X617" s="859"/>
      <c r="Y617" s="859"/>
      <c r="Z617" s="859"/>
      <c r="AA617" s="859"/>
      <c r="AB617" s="859"/>
      <c r="AC617" s="859"/>
      <c r="AD617" s="859"/>
      <c r="AE617" s="869"/>
      <c r="AF617" s="869"/>
      <c r="AG617" s="869"/>
      <c r="AH617" s="869"/>
      <c r="AI617" s="869"/>
      <c r="AJ617" s="869"/>
      <c r="AK617" s="869"/>
      <c r="AL617" s="869"/>
      <c r="AM617" s="869"/>
      <c r="AN617" s="869"/>
      <c r="AO617" s="869"/>
      <c r="AP617" s="869"/>
      <c r="AQ617" s="869"/>
      <c r="AR617" s="869"/>
      <c r="AS617" s="869"/>
      <c r="AT617" s="869"/>
      <c r="AU617" s="869"/>
      <c r="AV617" s="869"/>
      <c r="AW617" s="869"/>
      <c r="AX617" s="869"/>
    </row>
    <row r="618" spans="8:8" customHeight="1">
      <c r="A618" s="859"/>
      <c r="B618" s="859"/>
      <c r="C618" s="859"/>
      <c r="D618" s="859"/>
      <c r="E618" s="975"/>
      <c r="F618" s="859"/>
      <c r="G618" s="859"/>
      <c r="H618" s="859"/>
      <c r="I618" s="859"/>
      <c r="J618" s="859"/>
      <c r="K618" s="859"/>
      <c r="L618" s="859"/>
      <c r="M618" s="859"/>
      <c r="N618" s="859"/>
      <c r="O618" s="859"/>
      <c r="P618" s="859"/>
      <c r="Q618" s="859"/>
      <c r="R618" s="859"/>
      <c r="S618" s="859"/>
      <c r="T618" s="859"/>
      <c r="U618" s="859"/>
      <c r="V618" s="859"/>
      <c r="W618" s="859"/>
      <c r="X618" s="859"/>
      <c r="Y618" s="859"/>
      <c r="Z618" s="859"/>
      <c r="AA618" s="859"/>
      <c r="AB618" s="859"/>
      <c r="AC618" s="859"/>
      <c r="AD618" s="859"/>
      <c r="AE618" s="869"/>
      <c r="AF618" s="869"/>
      <c r="AG618" s="869"/>
      <c r="AH618" s="869"/>
      <c r="AI618" s="869"/>
      <c r="AJ618" s="869"/>
      <c r="AK618" s="869"/>
      <c r="AL618" s="869"/>
      <c r="AM618" s="869"/>
      <c r="AN618" s="869"/>
      <c r="AO618" s="869"/>
      <c r="AP618" s="869"/>
      <c r="AQ618" s="869"/>
      <c r="AR618" s="869"/>
      <c r="AS618" s="869"/>
      <c r="AT618" s="869"/>
      <c r="AU618" s="869"/>
      <c r="AV618" s="869"/>
      <c r="AW618" s="869"/>
      <c r="AX618" s="869"/>
    </row>
    <row r="619" spans="8:8" customHeight="1">
      <c r="A619" s="859"/>
      <c r="B619" s="859"/>
      <c r="C619" s="859"/>
      <c r="D619" s="859"/>
      <c r="E619" s="975"/>
      <c r="F619" s="859"/>
      <c r="G619" s="859"/>
      <c r="H619" s="859"/>
      <c r="I619" s="859"/>
      <c r="J619" s="859"/>
      <c r="K619" s="859"/>
      <c r="L619" s="859"/>
      <c r="M619" s="859"/>
      <c r="N619" s="859"/>
      <c r="O619" s="859"/>
      <c r="P619" s="859"/>
      <c r="Q619" s="859"/>
      <c r="R619" s="859"/>
      <c r="S619" s="859"/>
      <c r="T619" s="859"/>
      <c r="U619" s="859"/>
      <c r="V619" s="859"/>
      <c r="W619" s="859"/>
      <c r="X619" s="859"/>
      <c r="Y619" s="859"/>
      <c r="Z619" s="859"/>
      <c r="AA619" s="859"/>
      <c r="AB619" s="859"/>
      <c r="AC619" s="859"/>
      <c r="AD619" s="859"/>
      <c r="AE619" s="869"/>
      <c r="AF619" s="869"/>
      <c r="AG619" s="869"/>
      <c r="AH619" s="869"/>
      <c r="AI619" s="869"/>
      <c r="AJ619" s="869"/>
      <c r="AK619" s="869"/>
      <c r="AL619" s="869"/>
      <c r="AM619" s="869"/>
      <c r="AN619" s="869"/>
      <c r="AO619" s="869"/>
      <c r="AP619" s="869"/>
      <c r="AQ619" s="869"/>
      <c r="AR619" s="869"/>
      <c r="AS619" s="869"/>
      <c r="AT619" s="869"/>
      <c r="AU619" s="869"/>
      <c r="AV619" s="869"/>
      <c r="AW619" s="869"/>
      <c r="AX619" s="869"/>
    </row>
    <row r="620" spans="8:8" customHeight="1">
      <c r="A620" s="859"/>
      <c r="B620" s="859"/>
      <c r="C620" s="859"/>
      <c r="D620" s="859"/>
      <c r="E620" s="975"/>
      <c r="F620" s="859"/>
      <c r="G620" s="859"/>
      <c r="H620" s="859"/>
      <c r="I620" s="859"/>
      <c r="J620" s="859"/>
      <c r="K620" s="859"/>
      <c r="L620" s="859"/>
      <c r="M620" s="859"/>
      <c r="N620" s="859"/>
      <c r="O620" s="859"/>
      <c r="P620" s="859"/>
      <c r="Q620" s="859"/>
      <c r="R620" s="859"/>
      <c r="S620" s="859"/>
      <c r="T620" s="859"/>
      <c r="U620" s="859"/>
      <c r="V620" s="859"/>
      <c r="W620" s="859"/>
      <c r="X620" s="859"/>
      <c r="Y620" s="859"/>
      <c r="Z620" s="859"/>
      <c r="AA620" s="859"/>
      <c r="AB620" s="859"/>
      <c r="AC620" s="859"/>
      <c r="AD620" s="859"/>
      <c r="AE620" s="869"/>
      <c r="AF620" s="869"/>
      <c r="AG620" s="869"/>
      <c r="AH620" s="869"/>
      <c r="AI620" s="869"/>
      <c r="AJ620" s="869"/>
      <c r="AK620" s="869"/>
      <c r="AL620" s="869"/>
      <c r="AM620" s="869"/>
      <c r="AN620" s="869"/>
      <c r="AO620" s="869"/>
      <c r="AP620" s="869"/>
      <c r="AQ620" s="869"/>
      <c r="AR620" s="869"/>
      <c r="AS620" s="869"/>
      <c r="AT620" s="869"/>
      <c r="AU620" s="869"/>
      <c r="AV620" s="869"/>
      <c r="AW620" s="869"/>
      <c r="AX620" s="869"/>
    </row>
    <row r="621" spans="8:8" customHeight="1">
      <c r="A621" s="859"/>
      <c r="B621" s="859"/>
      <c r="C621" s="859"/>
      <c r="D621" s="859"/>
      <c r="E621" s="975"/>
      <c r="F621" s="859"/>
      <c r="G621" s="859"/>
      <c r="H621" s="859"/>
      <c r="I621" s="859"/>
      <c r="J621" s="859"/>
      <c r="K621" s="859"/>
      <c r="L621" s="859"/>
      <c r="M621" s="859"/>
      <c r="N621" s="859"/>
      <c r="O621" s="859"/>
      <c r="P621" s="859"/>
      <c r="Q621" s="859"/>
      <c r="R621" s="859"/>
      <c r="S621" s="859"/>
      <c r="T621" s="859"/>
      <c r="U621" s="859"/>
      <c r="V621" s="859"/>
      <c r="W621" s="859"/>
      <c r="X621" s="859"/>
      <c r="Y621" s="859"/>
      <c r="Z621" s="859"/>
      <c r="AA621" s="859"/>
      <c r="AB621" s="859"/>
      <c r="AC621" s="859"/>
      <c r="AD621" s="859"/>
      <c r="AE621" s="869"/>
      <c r="AF621" s="869"/>
      <c r="AG621" s="869"/>
      <c r="AH621" s="869"/>
      <c r="AI621" s="869"/>
      <c r="AJ621" s="869"/>
      <c r="AK621" s="869"/>
      <c r="AL621" s="869"/>
      <c r="AM621" s="869"/>
      <c r="AN621" s="869"/>
      <c r="AO621" s="869"/>
      <c r="AP621" s="869"/>
      <c r="AQ621" s="869"/>
      <c r="AR621" s="869"/>
      <c r="AS621" s="869"/>
      <c r="AT621" s="869"/>
      <c r="AU621" s="869"/>
      <c r="AV621" s="869"/>
      <c r="AW621" s="869"/>
      <c r="AX621" s="869"/>
    </row>
    <row r="622" spans="8:8" customHeight="1">
      <c r="A622" s="859"/>
      <c r="B622" s="859"/>
      <c r="C622" s="859"/>
      <c r="D622" s="859"/>
      <c r="E622" s="975"/>
      <c r="F622" s="859"/>
      <c r="G622" s="859"/>
      <c r="H622" s="859"/>
      <c r="I622" s="859"/>
      <c r="J622" s="859"/>
      <c r="K622" s="859"/>
      <c r="L622" s="859"/>
      <c r="M622" s="859"/>
      <c r="N622" s="859"/>
      <c r="O622" s="859"/>
      <c r="P622" s="859"/>
      <c r="Q622" s="859"/>
      <c r="R622" s="859"/>
      <c r="S622" s="859"/>
      <c r="T622" s="859"/>
      <c r="U622" s="859"/>
      <c r="V622" s="859"/>
      <c r="W622" s="859"/>
      <c r="X622" s="859"/>
      <c r="Y622" s="859"/>
      <c r="Z622" s="859"/>
      <c r="AA622" s="859"/>
      <c r="AB622" s="859"/>
      <c r="AC622" s="859"/>
      <c r="AD622" s="859"/>
      <c r="AE622" s="869"/>
      <c r="AF622" s="869"/>
      <c r="AG622" s="869"/>
      <c r="AH622" s="869"/>
      <c r="AI622" s="869"/>
      <c r="AJ622" s="869"/>
      <c r="AK622" s="869"/>
      <c r="AL622" s="869"/>
      <c r="AM622" s="869"/>
      <c r="AN622" s="869"/>
      <c r="AO622" s="869"/>
      <c r="AP622" s="869"/>
      <c r="AQ622" s="869"/>
      <c r="AR622" s="869"/>
      <c r="AS622" s="869"/>
      <c r="AT622" s="869"/>
      <c r="AU622" s="869"/>
      <c r="AV622" s="869"/>
      <c r="AW622" s="869"/>
      <c r="AX622" s="869"/>
    </row>
    <row r="623" spans="8:8" customHeight="1">
      <c r="A623" s="859"/>
      <c r="B623" s="859"/>
      <c r="C623" s="859"/>
      <c r="D623" s="859"/>
      <c r="E623" s="975"/>
      <c r="F623" s="859"/>
      <c r="G623" s="859"/>
      <c r="H623" s="859"/>
      <c r="I623" s="859"/>
      <c r="J623" s="859"/>
      <c r="K623" s="859"/>
      <c r="L623" s="859"/>
      <c r="M623" s="859"/>
      <c r="N623" s="859"/>
      <c r="O623" s="859"/>
      <c r="P623" s="859"/>
      <c r="Q623" s="859"/>
      <c r="R623" s="859"/>
      <c r="S623" s="859"/>
      <c r="T623" s="859"/>
      <c r="U623" s="859"/>
      <c r="V623" s="859"/>
      <c r="W623" s="859"/>
      <c r="X623" s="859"/>
      <c r="Y623" s="859"/>
      <c r="Z623" s="859"/>
      <c r="AA623" s="859"/>
      <c r="AB623" s="859"/>
      <c r="AC623" s="859"/>
      <c r="AD623" s="859"/>
      <c r="AE623" s="869"/>
      <c r="AF623" s="869"/>
      <c r="AG623" s="869"/>
      <c r="AH623" s="869"/>
      <c r="AI623" s="869"/>
      <c r="AJ623" s="869"/>
      <c r="AK623" s="869"/>
      <c r="AL623" s="869"/>
      <c r="AM623" s="869"/>
      <c r="AN623" s="869"/>
      <c r="AO623" s="869"/>
      <c r="AP623" s="869"/>
      <c r="AQ623" s="869"/>
      <c r="AR623" s="869"/>
      <c r="AS623" s="869"/>
      <c r="AT623" s="869"/>
      <c r="AU623" s="869"/>
      <c r="AV623" s="869"/>
      <c r="AW623" s="869"/>
      <c r="AX623" s="869"/>
    </row>
    <row r="624" spans="8:8" customHeight="1">
      <c r="A624" s="859"/>
      <c r="B624" s="859"/>
      <c r="C624" s="859"/>
      <c r="D624" s="859"/>
      <c r="E624" s="975"/>
      <c r="F624" s="859"/>
      <c r="G624" s="859"/>
      <c r="H624" s="859"/>
      <c r="I624" s="859"/>
      <c r="J624" s="859"/>
      <c r="K624" s="859"/>
      <c r="L624" s="859"/>
      <c r="M624" s="859"/>
      <c r="N624" s="859"/>
      <c r="O624" s="859"/>
      <c r="P624" s="859"/>
      <c r="Q624" s="859"/>
      <c r="R624" s="859"/>
      <c r="S624" s="859"/>
      <c r="T624" s="859"/>
      <c r="U624" s="859"/>
      <c r="V624" s="859"/>
      <c r="W624" s="859"/>
      <c r="X624" s="859"/>
      <c r="Y624" s="859"/>
      <c r="Z624" s="859"/>
      <c r="AA624" s="859"/>
      <c r="AB624" s="859"/>
      <c r="AC624" s="859"/>
      <c r="AD624" s="859"/>
      <c r="AE624" s="869"/>
      <c r="AF624" s="869"/>
      <c r="AG624" s="869"/>
      <c r="AH624" s="869"/>
      <c r="AI624" s="869"/>
      <c r="AJ624" s="869"/>
      <c r="AK624" s="869"/>
      <c r="AL624" s="869"/>
      <c r="AM624" s="869"/>
      <c r="AN624" s="869"/>
      <c r="AO624" s="869"/>
      <c r="AP624" s="869"/>
      <c r="AQ624" s="869"/>
      <c r="AR624" s="869"/>
      <c r="AS624" s="869"/>
      <c r="AT624" s="869"/>
      <c r="AU624" s="869"/>
      <c r="AV624" s="869"/>
      <c r="AW624" s="869"/>
      <c r="AX624" s="869"/>
    </row>
    <row r="625" spans="8:8" customHeight="1">
      <c r="A625" s="859"/>
      <c r="B625" s="859"/>
      <c r="C625" s="859"/>
      <c r="D625" s="859"/>
      <c r="E625" s="975"/>
      <c r="F625" s="859"/>
      <c r="G625" s="859"/>
      <c r="H625" s="859"/>
      <c r="I625" s="859"/>
      <c r="J625" s="859"/>
      <c r="K625" s="859"/>
      <c r="L625" s="859"/>
      <c r="M625" s="859"/>
      <c r="N625" s="859"/>
      <c r="O625" s="859"/>
      <c r="P625" s="859"/>
      <c r="Q625" s="859"/>
      <c r="R625" s="859"/>
      <c r="S625" s="859"/>
      <c r="T625" s="859"/>
      <c r="U625" s="859"/>
      <c r="V625" s="859"/>
      <c r="W625" s="859"/>
      <c r="X625" s="859"/>
      <c r="Y625" s="859"/>
      <c r="Z625" s="859"/>
      <c r="AA625" s="859"/>
      <c r="AB625" s="859"/>
      <c r="AC625" s="859"/>
      <c r="AD625" s="859"/>
      <c r="AE625" s="869"/>
      <c r="AF625" s="869"/>
      <c r="AG625" s="869"/>
      <c r="AH625" s="869"/>
      <c r="AI625" s="869"/>
      <c r="AJ625" s="869"/>
      <c r="AK625" s="869"/>
      <c r="AL625" s="869"/>
      <c r="AM625" s="869"/>
      <c r="AN625" s="869"/>
      <c r="AO625" s="869"/>
      <c r="AP625" s="869"/>
      <c r="AQ625" s="869"/>
      <c r="AR625" s="869"/>
      <c r="AS625" s="869"/>
      <c r="AT625" s="869"/>
      <c r="AU625" s="869"/>
      <c r="AV625" s="869"/>
      <c r="AW625" s="869"/>
      <c r="AX625" s="869"/>
    </row>
    <row r="626" spans="8:8" customHeight="1">
      <c r="A626" s="859"/>
      <c r="B626" s="859"/>
      <c r="C626" s="859"/>
      <c r="D626" s="859"/>
      <c r="E626" s="975"/>
      <c r="F626" s="859"/>
      <c r="G626" s="859"/>
      <c r="H626" s="859"/>
      <c r="I626" s="859"/>
      <c r="J626" s="859"/>
      <c r="K626" s="859"/>
      <c r="L626" s="859"/>
      <c r="M626" s="859"/>
      <c r="N626" s="859"/>
      <c r="O626" s="859"/>
      <c r="P626" s="859"/>
      <c r="Q626" s="859"/>
      <c r="R626" s="859"/>
      <c r="S626" s="859"/>
      <c r="T626" s="859"/>
      <c r="U626" s="859"/>
      <c r="V626" s="859"/>
      <c r="W626" s="859"/>
      <c r="X626" s="859"/>
      <c r="Y626" s="859"/>
      <c r="Z626" s="859"/>
      <c r="AA626" s="859"/>
      <c r="AB626" s="859"/>
      <c r="AC626" s="859"/>
      <c r="AD626" s="859"/>
      <c r="AE626" s="869"/>
      <c r="AF626" s="869"/>
      <c r="AG626" s="869"/>
      <c r="AH626" s="869"/>
      <c r="AI626" s="869"/>
      <c r="AJ626" s="869"/>
      <c r="AK626" s="869"/>
      <c r="AL626" s="869"/>
      <c r="AM626" s="869"/>
      <c r="AN626" s="869"/>
      <c r="AO626" s="869"/>
      <c r="AP626" s="869"/>
      <c r="AQ626" s="869"/>
      <c r="AR626" s="869"/>
      <c r="AS626" s="869"/>
      <c r="AT626" s="869"/>
      <c r="AU626" s="869"/>
      <c r="AV626" s="869"/>
      <c r="AW626" s="869"/>
      <c r="AX626" s="869"/>
    </row>
    <row r="627" spans="8:8" customHeight="1">
      <c r="A627" s="859"/>
      <c r="B627" s="859"/>
      <c r="C627" s="859"/>
      <c r="D627" s="859"/>
      <c r="E627" s="975"/>
      <c r="F627" s="859"/>
      <c r="G627" s="859"/>
      <c r="H627" s="859"/>
      <c r="I627" s="859"/>
      <c r="J627" s="859"/>
      <c r="K627" s="859"/>
      <c r="L627" s="859"/>
      <c r="M627" s="859"/>
      <c r="N627" s="859"/>
      <c r="O627" s="859"/>
      <c r="P627" s="859"/>
      <c r="Q627" s="859"/>
      <c r="R627" s="859"/>
      <c r="S627" s="859"/>
      <c r="T627" s="859"/>
      <c r="U627" s="859"/>
      <c r="V627" s="859"/>
      <c r="W627" s="859"/>
      <c r="X627" s="859"/>
      <c r="Y627" s="859"/>
      <c r="Z627" s="859"/>
      <c r="AA627" s="859"/>
      <c r="AB627" s="859"/>
      <c r="AC627" s="859"/>
      <c r="AD627" s="859"/>
      <c r="AE627" s="869"/>
      <c r="AF627" s="869"/>
      <c r="AG627" s="869"/>
      <c r="AH627" s="869"/>
      <c r="AI627" s="869"/>
      <c r="AJ627" s="869"/>
      <c r="AK627" s="869"/>
      <c r="AL627" s="869"/>
      <c r="AM627" s="869"/>
      <c r="AN627" s="869"/>
      <c r="AO627" s="869"/>
      <c r="AP627" s="869"/>
      <c r="AQ627" s="869"/>
      <c r="AR627" s="869"/>
      <c r="AS627" s="869"/>
      <c r="AT627" s="869"/>
      <c r="AU627" s="869"/>
      <c r="AV627" s="869"/>
      <c r="AW627" s="869"/>
      <c r="AX627" s="869"/>
    </row>
    <row r="628" spans="8:8" customHeight="1">
      <c r="A628" s="859"/>
      <c r="B628" s="859"/>
      <c r="C628" s="859"/>
      <c r="D628" s="859"/>
      <c r="E628" s="975"/>
      <c r="F628" s="859"/>
      <c r="G628" s="859"/>
      <c r="H628" s="859"/>
      <c r="I628" s="859"/>
      <c r="J628" s="859"/>
      <c r="K628" s="859"/>
      <c r="L628" s="859"/>
      <c r="M628" s="859"/>
      <c r="N628" s="859"/>
      <c r="O628" s="859"/>
      <c r="P628" s="859"/>
      <c r="Q628" s="859"/>
      <c r="R628" s="859"/>
      <c r="S628" s="859"/>
      <c r="T628" s="859"/>
      <c r="U628" s="859"/>
      <c r="V628" s="859"/>
      <c r="W628" s="859"/>
      <c r="X628" s="859"/>
      <c r="Y628" s="859"/>
      <c r="Z628" s="859"/>
      <c r="AA628" s="859"/>
      <c r="AB628" s="859"/>
      <c r="AC628" s="859"/>
      <c r="AD628" s="859"/>
      <c r="AE628" s="869"/>
      <c r="AF628" s="869"/>
      <c r="AG628" s="869"/>
      <c r="AH628" s="869"/>
      <c r="AI628" s="869"/>
      <c r="AJ628" s="869"/>
      <c r="AK628" s="869"/>
      <c r="AL628" s="869"/>
      <c r="AM628" s="869"/>
      <c r="AN628" s="869"/>
      <c r="AO628" s="869"/>
      <c r="AP628" s="869"/>
      <c r="AQ628" s="869"/>
      <c r="AR628" s="869"/>
      <c r="AS628" s="869"/>
      <c r="AT628" s="869"/>
      <c r="AU628" s="869"/>
      <c r="AV628" s="869"/>
      <c r="AW628" s="869"/>
      <c r="AX628" s="869"/>
    </row>
    <row r="629" spans="8:8" customHeight="1">
      <c r="A629" s="859"/>
      <c r="B629" s="859"/>
      <c r="C629" s="859"/>
      <c r="D629" s="859"/>
      <c r="E629" s="975"/>
      <c r="F629" s="859"/>
      <c r="G629" s="859"/>
      <c r="H629" s="859"/>
      <c r="I629" s="859"/>
      <c r="J629" s="859"/>
      <c r="K629" s="859"/>
      <c r="L629" s="859"/>
      <c r="M629" s="859"/>
      <c r="N629" s="859"/>
      <c r="O629" s="859"/>
      <c r="P629" s="859"/>
      <c r="Q629" s="859"/>
      <c r="R629" s="859"/>
      <c r="S629" s="859"/>
      <c r="T629" s="859"/>
      <c r="U629" s="859"/>
      <c r="V629" s="859"/>
      <c r="W629" s="859"/>
      <c r="X629" s="859"/>
      <c r="Y629" s="859"/>
      <c r="Z629" s="859"/>
      <c r="AA629" s="859"/>
      <c r="AB629" s="859"/>
      <c r="AC629" s="859"/>
      <c r="AD629" s="859"/>
      <c r="AE629" s="869"/>
      <c r="AF629" s="869"/>
      <c r="AG629" s="869"/>
      <c r="AH629" s="869"/>
      <c r="AI629" s="869"/>
      <c r="AJ629" s="869"/>
      <c r="AK629" s="869"/>
      <c r="AL629" s="869"/>
      <c r="AM629" s="869"/>
      <c r="AN629" s="869"/>
      <c r="AO629" s="869"/>
      <c r="AP629" s="869"/>
      <c r="AQ629" s="869"/>
      <c r="AR629" s="869"/>
      <c r="AS629" s="869"/>
      <c r="AT629" s="869"/>
      <c r="AU629" s="869"/>
      <c r="AV629" s="869"/>
      <c r="AW629" s="869"/>
      <c r="AX629" s="869"/>
    </row>
    <row r="630" spans="8:8" customHeight="1">
      <c r="A630" s="859"/>
      <c r="B630" s="859"/>
      <c r="C630" s="859"/>
      <c r="D630" s="859"/>
      <c r="E630" s="975"/>
      <c r="F630" s="859"/>
      <c r="G630" s="859"/>
      <c r="H630" s="859"/>
      <c r="I630" s="859"/>
      <c r="J630" s="859"/>
      <c r="K630" s="859"/>
      <c r="L630" s="859"/>
      <c r="M630" s="859"/>
      <c r="N630" s="859"/>
      <c r="O630" s="859"/>
      <c r="P630" s="859"/>
      <c r="Q630" s="859"/>
      <c r="R630" s="859"/>
      <c r="S630" s="859"/>
      <c r="T630" s="859"/>
      <c r="U630" s="859"/>
      <c r="V630" s="859"/>
      <c r="W630" s="859"/>
      <c r="X630" s="859"/>
      <c r="Y630" s="859"/>
      <c r="Z630" s="859"/>
      <c r="AA630" s="859"/>
      <c r="AB630" s="859"/>
      <c r="AC630" s="859"/>
      <c r="AD630" s="859"/>
      <c r="AE630" s="869"/>
      <c r="AF630" s="869"/>
      <c r="AG630" s="869"/>
      <c r="AH630" s="869"/>
      <c r="AI630" s="869"/>
      <c r="AJ630" s="869"/>
      <c r="AK630" s="869"/>
      <c r="AL630" s="869"/>
      <c r="AM630" s="869"/>
      <c r="AN630" s="869"/>
      <c r="AO630" s="869"/>
      <c r="AP630" s="869"/>
      <c r="AQ630" s="869"/>
      <c r="AR630" s="869"/>
      <c r="AS630" s="869"/>
      <c r="AT630" s="869"/>
      <c r="AU630" s="869"/>
      <c r="AV630" s="869"/>
      <c r="AW630" s="869"/>
      <c r="AX630" s="869"/>
    </row>
    <row r="631" spans="8:8" customHeight="1">
      <c r="A631" s="859"/>
      <c r="B631" s="859"/>
      <c r="C631" s="859"/>
      <c r="D631" s="859"/>
      <c r="E631" s="975"/>
      <c r="F631" s="859"/>
      <c r="G631" s="859"/>
      <c r="H631" s="859"/>
      <c r="I631" s="859"/>
      <c r="J631" s="859"/>
      <c r="K631" s="859"/>
      <c r="L631" s="859"/>
      <c r="M631" s="859"/>
      <c r="N631" s="859"/>
      <c r="O631" s="859"/>
      <c r="P631" s="859"/>
      <c r="Q631" s="859"/>
      <c r="R631" s="859"/>
      <c r="S631" s="859"/>
      <c r="T631" s="859"/>
      <c r="U631" s="859"/>
      <c r="V631" s="859"/>
      <c r="W631" s="859"/>
      <c r="X631" s="859"/>
      <c r="Y631" s="859"/>
      <c r="Z631" s="859"/>
      <c r="AA631" s="859"/>
      <c r="AB631" s="859"/>
      <c r="AC631" s="859"/>
      <c r="AD631" s="859"/>
      <c r="AE631" s="869"/>
      <c r="AF631" s="869"/>
      <c r="AG631" s="869"/>
      <c r="AH631" s="869"/>
      <c r="AI631" s="869"/>
      <c r="AJ631" s="869"/>
      <c r="AK631" s="869"/>
      <c r="AL631" s="869"/>
      <c r="AM631" s="869"/>
      <c r="AN631" s="869"/>
      <c r="AO631" s="869"/>
      <c r="AP631" s="869"/>
      <c r="AQ631" s="869"/>
      <c r="AR631" s="869"/>
      <c r="AS631" s="869"/>
      <c r="AT631" s="869"/>
      <c r="AU631" s="869"/>
      <c r="AV631" s="869"/>
      <c r="AW631" s="869"/>
      <c r="AX631" s="869"/>
    </row>
    <row r="632" spans="8:8" customHeight="1">
      <c r="A632" s="859"/>
      <c r="B632" s="859"/>
      <c r="C632" s="859"/>
      <c r="D632" s="859"/>
      <c r="E632" s="975"/>
      <c r="F632" s="859"/>
      <c r="G632" s="859"/>
      <c r="H632" s="859"/>
      <c r="I632" s="859"/>
      <c r="J632" s="859"/>
      <c r="K632" s="859"/>
      <c r="L632" s="859"/>
      <c r="M632" s="859"/>
      <c r="N632" s="859"/>
      <c r="O632" s="859"/>
      <c r="P632" s="859"/>
      <c r="Q632" s="859"/>
      <c r="R632" s="859"/>
      <c r="S632" s="859"/>
      <c r="T632" s="859"/>
      <c r="U632" s="859"/>
      <c r="V632" s="859"/>
      <c r="W632" s="859"/>
      <c r="X632" s="859"/>
      <c r="Y632" s="859"/>
      <c r="Z632" s="859"/>
      <c r="AA632" s="859"/>
      <c r="AB632" s="859"/>
      <c r="AC632" s="859"/>
      <c r="AD632" s="859"/>
      <c r="AE632" s="869"/>
      <c r="AF632" s="869"/>
      <c r="AG632" s="869"/>
      <c r="AH632" s="869"/>
      <c r="AI632" s="869"/>
      <c r="AJ632" s="869"/>
      <c r="AK632" s="869"/>
      <c r="AL632" s="869"/>
      <c r="AM632" s="869"/>
      <c r="AN632" s="869"/>
      <c r="AO632" s="869"/>
      <c r="AP632" s="869"/>
      <c r="AQ632" s="869"/>
      <c r="AR632" s="869"/>
      <c r="AS632" s="869"/>
      <c r="AT632" s="869"/>
      <c r="AU632" s="869"/>
      <c r="AV632" s="869"/>
      <c r="AW632" s="869"/>
      <c r="AX632" s="869"/>
    </row>
    <row r="633" spans="8:8" customHeight="1">
      <c r="A633" s="859"/>
      <c r="B633" s="859"/>
      <c r="C633" s="859"/>
      <c r="D633" s="859"/>
      <c r="E633" s="975"/>
      <c r="F633" s="859"/>
      <c r="G633" s="859"/>
      <c r="H633" s="859"/>
      <c r="I633" s="859"/>
      <c r="J633" s="859"/>
      <c r="K633" s="859"/>
      <c r="L633" s="859"/>
      <c r="M633" s="859"/>
      <c r="N633" s="859"/>
      <c r="O633" s="859"/>
      <c r="P633" s="859"/>
      <c r="Q633" s="859"/>
      <c r="R633" s="859"/>
      <c r="S633" s="859"/>
      <c r="T633" s="859"/>
      <c r="U633" s="859"/>
      <c r="V633" s="859"/>
      <c r="W633" s="859"/>
      <c r="X633" s="859"/>
      <c r="Y633" s="859"/>
      <c r="Z633" s="859"/>
      <c r="AA633" s="859"/>
      <c r="AB633" s="859"/>
      <c r="AC633" s="859"/>
      <c r="AD633" s="859"/>
      <c r="AE633" s="869"/>
      <c r="AF633" s="869"/>
      <c r="AG633" s="869"/>
      <c r="AH633" s="869"/>
      <c r="AI633" s="869"/>
      <c r="AJ633" s="869"/>
      <c r="AK633" s="869"/>
      <c r="AL633" s="869"/>
      <c r="AM633" s="869"/>
      <c r="AN633" s="869"/>
      <c r="AO633" s="869"/>
      <c r="AP633" s="869"/>
      <c r="AQ633" s="869"/>
      <c r="AR633" s="869"/>
      <c r="AS633" s="869"/>
      <c r="AT633" s="869"/>
      <c r="AU633" s="869"/>
      <c r="AV633" s="869"/>
      <c r="AW633" s="869"/>
      <c r="AX633" s="869"/>
    </row>
    <row r="634" spans="8:8" customHeight="1">
      <c r="A634" s="859"/>
      <c r="B634" s="859"/>
      <c r="C634" s="859"/>
      <c r="D634" s="859"/>
      <c r="E634" s="975"/>
      <c r="F634" s="859"/>
      <c r="G634" s="859"/>
      <c r="H634" s="859"/>
      <c r="I634" s="859"/>
      <c r="J634" s="859"/>
      <c r="K634" s="859"/>
      <c r="L634" s="859"/>
      <c r="M634" s="859"/>
      <c r="N634" s="859"/>
      <c r="O634" s="859"/>
      <c r="P634" s="859"/>
      <c r="Q634" s="859"/>
      <c r="R634" s="859"/>
      <c r="S634" s="859"/>
      <c r="T634" s="859"/>
      <c r="U634" s="859"/>
      <c r="V634" s="859"/>
      <c r="W634" s="859"/>
      <c r="X634" s="859"/>
      <c r="Y634" s="859"/>
      <c r="Z634" s="859"/>
      <c r="AA634" s="859"/>
      <c r="AB634" s="859"/>
      <c r="AC634" s="859"/>
      <c r="AD634" s="859"/>
      <c r="AE634" s="869"/>
      <c r="AF634" s="869"/>
      <c r="AG634" s="869"/>
      <c r="AH634" s="869"/>
      <c r="AI634" s="869"/>
      <c r="AJ634" s="869"/>
      <c r="AK634" s="869"/>
      <c r="AL634" s="869"/>
      <c r="AM634" s="869"/>
      <c r="AN634" s="869"/>
      <c r="AO634" s="869"/>
      <c r="AP634" s="869"/>
      <c r="AQ634" s="869"/>
      <c r="AR634" s="869"/>
      <c r="AS634" s="869"/>
      <c r="AT634" s="869"/>
      <c r="AU634" s="869"/>
      <c r="AV634" s="869"/>
      <c r="AW634" s="869"/>
      <c r="AX634" s="869"/>
    </row>
    <row r="635" spans="8:8" customHeight="1">
      <c r="A635" s="859"/>
      <c r="B635" s="859"/>
      <c r="C635" s="859"/>
      <c r="D635" s="859"/>
      <c r="E635" s="975"/>
      <c r="F635" s="859"/>
      <c r="G635" s="859"/>
      <c r="H635" s="859"/>
      <c r="I635" s="859"/>
      <c r="J635" s="859"/>
      <c r="K635" s="859"/>
      <c r="L635" s="859"/>
      <c r="M635" s="859"/>
      <c r="N635" s="859"/>
      <c r="O635" s="859"/>
      <c r="P635" s="859"/>
      <c r="Q635" s="859"/>
      <c r="R635" s="859"/>
      <c r="S635" s="859"/>
      <c r="T635" s="859"/>
      <c r="U635" s="859"/>
      <c r="V635" s="859"/>
      <c r="W635" s="859"/>
      <c r="X635" s="859"/>
      <c r="Y635" s="859"/>
      <c r="Z635" s="859"/>
      <c r="AA635" s="859"/>
      <c r="AB635" s="859"/>
      <c r="AC635" s="859"/>
      <c r="AD635" s="859"/>
      <c r="AE635" s="869"/>
      <c r="AF635" s="869"/>
      <c r="AG635" s="869"/>
      <c r="AH635" s="869"/>
      <c r="AI635" s="869"/>
      <c r="AJ635" s="869"/>
      <c r="AK635" s="869"/>
      <c r="AL635" s="869"/>
      <c r="AM635" s="869"/>
      <c r="AN635" s="869"/>
      <c r="AO635" s="869"/>
      <c r="AP635" s="869"/>
      <c r="AQ635" s="869"/>
      <c r="AR635" s="869"/>
      <c r="AS635" s="869"/>
      <c r="AT635" s="869"/>
      <c r="AU635" s="869"/>
      <c r="AV635" s="869"/>
      <c r="AW635" s="869"/>
      <c r="AX635" s="869"/>
    </row>
    <row r="636" spans="8:8" customHeight="1">
      <c r="A636" s="859"/>
      <c r="B636" s="859"/>
      <c r="C636" s="859"/>
      <c r="D636" s="859"/>
      <c r="E636" s="975"/>
      <c r="F636" s="859"/>
      <c r="G636" s="859"/>
      <c r="H636" s="859"/>
      <c r="I636" s="859"/>
      <c r="J636" s="859"/>
      <c r="K636" s="859"/>
      <c r="L636" s="859"/>
      <c r="M636" s="859"/>
      <c r="N636" s="859"/>
      <c r="O636" s="859"/>
      <c r="P636" s="859"/>
      <c r="Q636" s="859"/>
      <c r="R636" s="859"/>
      <c r="S636" s="859"/>
      <c r="T636" s="859"/>
      <c r="U636" s="859"/>
      <c r="V636" s="859"/>
      <c r="W636" s="859"/>
      <c r="X636" s="859"/>
      <c r="Y636" s="859"/>
      <c r="Z636" s="859"/>
      <c r="AA636" s="859"/>
      <c r="AB636" s="859"/>
      <c r="AC636" s="859"/>
      <c r="AD636" s="859"/>
      <c r="AE636" s="869"/>
      <c r="AF636" s="869"/>
      <c r="AG636" s="869"/>
      <c r="AH636" s="869"/>
      <c r="AI636" s="869"/>
      <c r="AJ636" s="869"/>
      <c r="AK636" s="869"/>
      <c r="AL636" s="869"/>
      <c r="AM636" s="869"/>
      <c r="AN636" s="869"/>
      <c r="AO636" s="869"/>
      <c r="AP636" s="869"/>
      <c r="AQ636" s="869"/>
      <c r="AR636" s="869"/>
      <c r="AS636" s="869"/>
      <c r="AT636" s="869"/>
      <c r="AU636" s="869"/>
      <c r="AV636" s="869"/>
      <c r="AW636" s="869"/>
      <c r="AX636" s="869"/>
    </row>
    <row r="637" spans="8:8" customHeight="1">
      <c r="A637" s="859"/>
      <c r="B637" s="859"/>
      <c r="C637" s="859"/>
      <c r="D637" s="859"/>
      <c r="E637" s="975"/>
      <c r="F637" s="859"/>
      <c r="G637" s="859"/>
      <c r="H637" s="859"/>
      <c r="I637" s="859"/>
      <c r="J637" s="859"/>
      <c r="K637" s="859"/>
      <c r="L637" s="859"/>
      <c r="M637" s="859"/>
      <c r="N637" s="859"/>
      <c r="O637" s="859"/>
      <c r="P637" s="859"/>
      <c r="Q637" s="859"/>
      <c r="R637" s="859"/>
      <c r="S637" s="859"/>
      <c r="T637" s="859"/>
      <c r="U637" s="859"/>
      <c r="V637" s="859"/>
      <c r="W637" s="859"/>
      <c r="X637" s="859"/>
      <c r="Y637" s="859"/>
      <c r="Z637" s="859"/>
      <c r="AA637" s="859"/>
      <c r="AB637" s="859"/>
      <c r="AC637" s="859"/>
      <c r="AD637" s="859"/>
      <c r="AE637" s="869"/>
      <c r="AF637" s="869"/>
      <c r="AG637" s="869"/>
      <c r="AH637" s="869"/>
      <c r="AI637" s="869"/>
      <c r="AJ637" s="869"/>
      <c r="AK637" s="869"/>
      <c r="AL637" s="869"/>
      <c r="AM637" s="869"/>
      <c r="AN637" s="869"/>
      <c r="AO637" s="869"/>
      <c r="AP637" s="869"/>
      <c r="AQ637" s="869"/>
      <c r="AR637" s="869"/>
      <c r="AS637" s="869"/>
      <c r="AT637" s="869"/>
      <c r="AU637" s="869"/>
      <c r="AV637" s="869"/>
      <c r="AW637" s="869"/>
      <c r="AX637" s="869"/>
    </row>
    <row r="638" spans="8:8" customHeight="1">
      <c r="A638" s="859"/>
      <c r="B638" s="859"/>
      <c r="C638" s="859"/>
      <c r="D638" s="859"/>
      <c r="E638" s="975"/>
      <c r="F638" s="859"/>
      <c r="G638" s="859"/>
      <c r="H638" s="859"/>
      <c r="I638" s="859"/>
      <c r="J638" s="859"/>
      <c r="K638" s="859"/>
      <c r="L638" s="859"/>
      <c r="M638" s="859"/>
      <c r="N638" s="859"/>
      <c r="O638" s="859"/>
      <c r="P638" s="859"/>
      <c r="Q638" s="859"/>
      <c r="R638" s="859"/>
      <c r="S638" s="859"/>
      <c r="T638" s="859"/>
      <c r="U638" s="859"/>
      <c r="V638" s="859"/>
      <c r="W638" s="859"/>
      <c r="X638" s="859"/>
      <c r="Y638" s="859"/>
      <c r="Z638" s="859"/>
      <c r="AA638" s="859"/>
      <c r="AB638" s="859"/>
      <c r="AC638" s="859"/>
      <c r="AD638" s="859"/>
      <c r="AE638" s="869"/>
      <c r="AF638" s="869"/>
      <c r="AG638" s="869"/>
      <c r="AH638" s="869"/>
      <c r="AI638" s="869"/>
      <c r="AJ638" s="869"/>
      <c r="AK638" s="869"/>
      <c r="AL638" s="869"/>
      <c r="AM638" s="869"/>
      <c r="AN638" s="869"/>
      <c r="AO638" s="869"/>
      <c r="AP638" s="869"/>
      <c r="AQ638" s="869"/>
      <c r="AR638" s="869"/>
      <c r="AS638" s="869"/>
      <c r="AT638" s="869"/>
      <c r="AU638" s="869"/>
      <c r="AV638" s="869"/>
      <c r="AW638" s="869"/>
      <c r="AX638" s="869"/>
    </row>
    <row r="639" spans="8:8" customHeight="1">
      <c r="A639" s="859"/>
      <c r="B639" s="859"/>
      <c r="C639" s="859"/>
      <c r="D639" s="859"/>
      <c r="E639" s="975"/>
      <c r="F639" s="859"/>
      <c r="G639" s="859"/>
      <c r="H639" s="859"/>
      <c r="I639" s="859"/>
      <c r="J639" s="859"/>
      <c r="K639" s="859"/>
      <c r="L639" s="859"/>
      <c r="M639" s="859"/>
      <c r="N639" s="859"/>
      <c r="O639" s="859"/>
      <c r="P639" s="859"/>
      <c r="Q639" s="859"/>
      <c r="R639" s="859"/>
      <c r="S639" s="859"/>
      <c r="T639" s="859"/>
      <c r="U639" s="859"/>
      <c r="V639" s="859"/>
      <c r="W639" s="859"/>
      <c r="X639" s="859"/>
      <c r="Y639" s="859"/>
      <c r="Z639" s="859"/>
      <c r="AA639" s="859"/>
      <c r="AB639" s="859"/>
      <c r="AC639" s="859"/>
      <c r="AD639" s="859"/>
      <c r="AE639" s="869"/>
      <c r="AF639" s="869"/>
      <c r="AG639" s="869"/>
      <c r="AH639" s="869"/>
      <c r="AI639" s="869"/>
      <c r="AJ639" s="869"/>
      <c r="AK639" s="869"/>
      <c r="AL639" s="869"/>
      <c r="AM639" s="869"/>
      <c r="AN639" s="869"/>
      <c r="AO639" s="869"/>
      <c r="AP639" s="869"/>
      <c r="AQ639" s="869"/>
      <c r="AR639" s="869"/>
      <c r="AS639" s="869"/>
      <c r="AT639" s="869"/>
      <c r="AU639" s="869"/>
      <c r="AV639" s="869"/>
      <c r="AW639" s="869"/>
      <c r="AX639" s="869"/>
    </row>
    <row r="640" spans="8:8" customHeight="1">
      <c r="A640" s="859"/>
      <c r="B640" s="859"/>
      <c r="C640" s="859"/>
      <c r="D640" s="859"/>
      <c r="E640" s="975"/>
      <c r="F640" s="859"/>
      <c r="G640" s="859"/>
      <c r="H640" s="859"/>
      <c r="I640" s="859"/>
      <c r="J640" s="859"/>
      <c r="K640" s="859"/>
      <c r="L640" s="859"/>
      <c r="M640" s="859"/>
      <c r="N640" s="859"/>
      <c r="O640" s="859"/>
      <c r="P640" s="859"/>
      <c r="Q640" s="859"/>
      <c r="R640" s="859"/>
      <c r="S640" s="859"/>
      <c r="T640" s="859"/>
      <c r="U640" s="859"/>
      <c r="V640" s="859"/>
      <c r="W640" s="859"/>
      <c r="X640" s="859"/>
      <c r="Y640" s="859"/>
      <c r="Z640" s="859"/>
      <c r="AA640" s="859"/>
      <c r="AB640" s="859"/>
      <c r="AC640" s="859"/>
      <c r="AD640" s="859"/>
      <c r="AE640" s="869"/>
      <c r="AF640" s="869"/>
      <c r="AG640" s="869"/>
      <c r="AH640" s="869"/>
      <c r="AI640" s="869"/>
      <c r="AJ640" s="869"/>
      <c r="AK640" s="869"/>
      <c r="AL640" s="869"/>
      <c r="AM640" s="869"/>
      <c r="AN640" s="869"/>
      <c r="AO640" s="869"/>
      <c r="AP640" s="869"/>
      <c r="AQ640" s="869"/>
      <c r="AR640" s="869"/>
      <c r="AS640" s="869"/>
      <c r="AT640" s="869"/>
      <c r="AU640" s="869"/>
      <c r="AV640" s="869"/>
      <c r="AW640" s="869"/>
      <c r="AX640" s="869"/>
    </row>
    <row r="641" spans="8:8" customHeight="1">
      <c r="A641" s="859"/>
      <c r="B641" s="859"/>
      <c r="C641" s="859"/>
      <c r="D641" s="859"/>
      <c r="E641" s="975"/>
      <c r="F641" s="859"/>
      <c r="G641" s="859"/>
      <c r="H641" s="859"/>
      <c r="I641" s="859"/>
      <c r="J641" s="859"/>
      <c r="K641" s="859"/>
      <c r="L641" s="859"/>
      <c r="M641" s="859"/>
      <c r="N641" s="859"/>
      <c r="O641" s="859"/>
      <c r="P641" s="859"/>
      <c r="Q641" s="859"/>
      <c r="R641" s="859"/>
      <c r="S641" s="859"/>
      <c r="T641" s="859"/>
      <c r="U641" s="859"/>
      <c r="V641" s="859"/>
      <c r="W641" s="859"/>
      <c r="X641" s="859"/>
      <c r="Y641" s="859"/>
      <c r="Z641" s="859"/>
      <c r="AA641" s="859"/>
      <c r="AB641" s="859"/>
      <c r="AC641" s="859"/>
      <c r="AD641" s="859"/>
      <c r="AE641" s="869"/>
      <c r="AF641" s="869"/>
      <c r="AG641" s="869"/>
      <c r="AH641" s="869"/>
      <c r="AI641" s="869"/>
      <c r="AJ641" s="869"/>
      <c r="AK641" s="869"/>
      <c r="AL641" s="869"/>
      <c r="AM641" s="869"/>
      <c r="AN641" s="869"/>
      <c r="AO641" s="869"/>
      <c r="AP641" s="869"/>
      <c r="AQ641" s="869"/>
      <c r="AR641" s="869"/>
      <c r="AS641" s="869"/>
      <c r="AT641" s="869"/>
      <c r="AU641" s="869"/>
      <c r="AV641" s="869"/>
      <c r="AW641" s="869"/>
      <c r="AX641" s="869"/>
    </row>
    <row r="642" spans="8:8" customHeight="1">
      <c r="A642" s="859"/>
      <c r="B642" s="859"/>
      <c r="C642" s="859"/>
      <c r="D642" s="859"/>
      <c r="E642" s="975"/>
      <c r="F642" s="859"/>
      <c r="G642" s="859"/>
      <c r="H642" s="859"/>
      <c r="I642" s="859"/>
      <c r="J642" s="859"/>
      <c r="K642" s="859"/>
      <c r="L642" s="859"/>
      <c r="M642" s="859"/>
      <c r="N642" s="859"/>
      <c r="O642" s="859"/>
      <c r="P642" s="859"/>
      <c r="Q642" s="859"/>
      <c r="R642" s="859"/>
      <c r="S642" s="859"/>
      <c r="T642" s="859"/>
      <c r="U642" s="859"/>
      <c r="V642" s="859"/>
      <c r="W642" s="859"/>
      <c r="X642" s="859"/>
      <c r="Y642" s="859"/>
      <c r="Z642" s="859"/>
      <c r="AA642" s="859"/>
      <c r="AB642" s="859"/>
      <c r="AC642" s="859"/>
      <c r="AD642" s="859"/>
      <c r="AE642" s="869"/>
      <c r="AF642" s="869"/>
      <c r="AG642" s="869"/>
      <c r="AH642" s="869"/>
      <c r="AI642" s="869"/>
      <c r="AJ642" s="869"/>
      <c r="AK642" s="869"/>
      <c r="AL642" s="869"/>
      <c r="AM642" s="869"/>
      <c r="AN642" s="869"/>
      <c r="AO642" s="869"/>
      <c r="AP642" s="869"/>
      <c r="AQ642" s="869"/>
      <c r="AR642" s="869"/>
      <c r="AS642" s="869"/>
      <c r="AT642" s="869"/>
      <c r="AU642" s="869"/>
      <c r="AV642" s="869"/>
      <c r="AW642" s="869"/>
      <c r="AX642" s="869"/>
    </row>
    <row r="643" spans="8:8" customHeight="1">
      <c r="A643" s="859"/>
      <c r="B643" s="859"/>
      <c r="C643" s="859"/>
      <c r="D643" s="859"/>
      <c r="E643" s="975"/>
      <c r="F643" s="859"/>
      <c r="G643" s="859"/>
      <c r="H643" s="859"/>
      <c r="I643" s="859"/>
      <c r="J643" s="859"/>
      <c r="K643" s="859"/>
      <c r="L643" s="859"/>
      <c r="M643" s="859"/>
      <c r="N643" s="859"/>
      <c r="O643" s="859"/>
      <c r="P643" s="859"/>
      <c r="Q643" s="859"/>
      <c r="R643" s="859"/>
      <c r="S643" s="859"/>
      <c r="T643" s="859"/>
      <c r="U643" s="859"/>
      <c r="V643" s="859"/>
      <c r="W643" s="859"/>
      <c r="X643" s="859"/>
      <c r="Y643" s="859"/>
      <c r="Z643" s="859"/>
      <c r="AA643" s="859"/>
      <c r="AB643" s="859"/>
      <c r="AC643" s="859"/>
      <c r="AD643" s="859"/>
      <c r="AE643" s="869"/>
      <c r="AF643" s="869"/>
      <c r="AG643" s="869"/>
      <c r="AH643" s="869"/>
      <c r="AI643" s="869"/>
      <c r="AJ643" s="869"/>
      <c r="AK643" s="869"/>
      <c r="AL643" s="869"/>
      <c r="AM643" s="869"/>
      <c r="AN643" s="869"/>
      <c r="AO643" s="869"/>
      <c r="AP643" s="869"/>
      <c r="AQ643" s="869"/>
      <c r="AR643" s="869"/>
      <c r="AS643" s="869"/>
      <c r="AT643" s="869"/>
      <c r="AU643" s="869"/>
      <c r="AV643" s="869"/>
      <c r="AW643" s="869"/>
      <c r="AX643" s="869"/>
    </row>
    <row r="644" spans="8:8" customHeight="1">
      <c r="A644" s="859"/>
      <c r="B644" s="859"/>
      <c r="C644" s="859"/>
      <c r="D644" s="859"/>
      <c r="E644" s="975"/>
      <c r="F644" s="859"/>
      <c r="G644" s="859"/>
      <c r="H644" s="859"/>
      <c r="I644" s="859"/>
      <c r="J644" s="859"/>
      <c r="K644" s="859"/>
      <c r="L644" s="859"/>
      <c r="M644" s="859"/>
      <c r="N644" s="859"/>
      <c r="O644" s="859"/>
      <c r="P644" s="859"/>
      <c r="Q644" s="859"/>
      <c r="R644" s="859"/>
      <c r="S644" s="859"/>
      <c r="T644" s="859"/>
      <c r="U644" s="859"/>
      <c r="V644" s="859"/>
      <c r="W644" s="859"/>
      <c r="X644" s="859"/>
      <c r="Y644" s="859"/>
      <c r="Z644" s="859"/>
      <c r="AA644" s="859"/>
      <c r="AB644" s="859"/>
      <c r="AC644" s="859"/>
      <c r="AD644" s="859"/>
      <c r="AE644" s="869"/>
      <c r="AF644" s="869"/>
      <c r="AG644" s="869"/>
      <c r="AH644" s="869"/>
      <c r="AI644" s="869"/>
      <c r="AJ644" s="869"/>
      <c r="AK644" s="869"/>
      <c r="AL644" s="869"/>
      <c r="AM644" s="869"/>
      <c r="AN644" s="869"/>
      <c r="AO644" s="869"/>
      <c r="AP644" s="869"/>
      <c r="AQ644" s="869"/>
      <c r="AR644" s="869"/>
      <c r="AS644" s="869"/>
      <c r="AT644" s="869"/>
      <c r="AU644" s="869"/>
      <c r="AV644" s="869"/>
      <c r="AW644" s="869"/>
      <c r="AX644" s="869"/>
    </row>
    <row r="645" spans="8:8" customHeight="1">
      <c r="A645" s="859"/>
      <c r="B645" s="859"/>
      <c r="C645" s="859"/>
      <c r="D645" s="859"/>
      <c r="E645" s="975"/>
      <c r="F645" s="859"/>
      <c r="G645" s="859"/>
      <c r="H645" s="859"/>
      <c r="I645" s="859"/>
      <c r="J645" s="859"/>
      <c r="K645" s="859"/>
      <c r="L645" s="859"/>
      <c r="M645" s="859"/>
      <c r="N645" s="859"/>
      <c r="O645" s="859"/>
      <c r="P645" s="859"/>
      <c r="Q645" s="859"/>
      <c r="R645" s="859"/>
      <c r="S645" s="859"/>
      <c r="T645" s="859"/>
      <c r="U645" s="859"/>
      <c r="V645" s="859"/>
      <c r="W645" s="859"/>
      <c r="X645" s="859"/>
      <c r="Y645" s="859"/>
      <c r="Z645" s="859"/>
      <c r="AA645" s="859"/>
      <c r="AB645" s="859"/>
      <c r="AC645" s="859"/>
      <c r="AD645" s="859"/>
      <c r="AE645" s="869"/>
      <c r="AF645" s="869"/>
      <c r="AG645" s="869"/>
      <c r="AH645" s="869"/>
      <c r="AI645" s="869"/>
      <c r="AJ645" s="869"/>
      <c r="AK645" s="869"/>
      <c r="AL645" s="869"/>
      <c r="AM645" s="869"/>
      <c r="AN645" s="869"/>
      <c r="AO645" s="869"/>
      <c r="AP645" s="869"/>
      <c r="AQ645" s="869"/>
      <c r="AR645" s="869"/>
      <c r="AS645" s="869"/>
      <c r="AT645" s="869"/>
      <c r="AU645" s="869"/>
      <c r="AV645" s="869"/>
      <c r="AW645" s="869"/>
      <c r="AX645" s="869"/>
    </row>
    <row r="646" spans="8:8" customHeight="1">
      <c r="A646" s="859"/>
      <c r="B646" s="859"/>
      <c r="C646" s="859"/>
      <c r="D646" s="859"/>
      <c r="E646" s="975"/>
      <c r="F646" s="859"/>
      <c r="G646" s="859"/>
      <c r="H646" s="859"/>
      <c r="I646" s="859"/>
      <c r="J646" s="859"/>
      <c r="K646" s="859"/>
      <c r="L646" s="859"/>
      <c r="M646" s="859"/>
      <c r="N646" s="859"/>
      <c r="O646" s="859"/>
      <c r="P646" s="859"/>
      <c r="Q646" s="859"/>
      <c r="R646" s="859"/>
      <c r="S646" s="859"/>
      <c r="T646" s="859"/>
      <c r="U646" s="859"/>
      <c r="V646" s="859"/>
      <c r="W646" s="859"/>
      <c r="X646" s="859"/>
      <c r="Y646" s="859"/>
      <c r="Z646" s="859"/>
      <c r="AA646" s="859"/>
      <c r="AB646" s="859"/>
      <c r="AC646" s="859"/>
      <c r="AD646" s="859"/>
      <c r="AE646" s="869"/>
      <c r="AF646" s="869"/>
      <c r="AG646" s="869"/>
      <c r="AH646" s="869"/>
      <c r="AI646" s="869"/>
      <c r="AJ646" s="869"/>
      <c r="AK646" s="869"/>
      <c r="AL646" s="869"/>
      <c r="AM646" s="869"/>
      <c r="AN646" s="869"/>
      <c r="AO646" s="869"/>
      <c r="AP646" s="869"/>
      <c r="AQ646" s="869"/>
      <c r="AR646" s="869"/>
      <c r="AS646" s="869"/>
      <c r="AT646" s="869"/>
      <c r="AU646" s="869"/>
      <c r="AV646" s="869"/>
      <c r="AW646" s="869"/>
      <c r="AX646" s="869"/>
    </row>
    <row r="647" spans="8:8" customHeight="1">
      <c r="A647" s="859"/>
      <c r="B647" s="859"/>
      <c r="C647" s="859"/>
      <c r="D647" s="859"/>
      <c r="E647" s="975"/>
      <c r="F647" s="859"/>
      <c r="G647" s="859"/>
      <c r="H647" s="859"/>
      <c r="I647" s="859"/>
      <c r="J647" s="859"/>
      <c r="K647" s="859"/>
      <c r="L647" s="859"/>
      <c r="M647" s="859"/>
      <c r="N647" s="859"/>
      <c r="O647" s="859"/>
      <c r="P647" s="859"/>
      <c r="Q647" s="859"/>
      <c r="R647" s="859"/>
      <c r="S647" s="859"/>
      <c r="T647" s="859"/>
      <c r="U647" s="859"/>
      <c r="V647" s="859"/>
      <c r="W647" s="859"/>
      <c r="X647" s="859"/>
      <c r="Y647" s="859"/>
      <c r="Z647" s="859"/>
      <c r="AA647" s="859"/>
      <c r="AB647" s="859"/>
      <c r="AC647" s="859"/>
      <c r="AD647" s="859"/>
      <c r="AE647" s="869"/>
      <c r="AF647" s="869"/>
      <c r="AG647" s="869"/>
      <c r="AH647" s="869"/>
      <c r="AI647" s="869"/>
      <c r="AJ647" s="869"/>
      <c r="AK647" s="869"/>
      <c r="AL647" s="869"/>
      <c r="AM647" s="869"/>
      <c r="AN647" s="869"/>
      <c r="AO647" s="869"/>
      <c r="AP647" s="869"/>
      <c r="AQ647" s="869"/>
      <c r="AR647" s="869"/>
      <c r="AS647" s="869"/>
      <c r="AT647" s="869"/>
      <c r="AU647" s="869"/>
      <c r="AV647" s="869"/>
      <c r="AW647" s="869"/>
      <c r="AX647" s="869"/>
    </row>
    <row r="648" spans="8:8" customHeight="1">
      <c r="A648" s="859"/>
      <c r="B648" s="859"/>
      <c r="C648" s="859"/>
      <c r="D648" s="859"/>
      <c r="E648" s="975"/>
      <c r="F648" s="859"/>
      <c r="G648" s="859"/>
      <c r="H648" s="859"/>
      <c r="I648" s="859"/>
      <c r="J648" s="859"/>
      <c r="K648" s="859"/>
      <c r="L648" s="859"/>
      <c r="M648" s="859"/>
      <c r="N648" s="859"/>
      <c r="O648" s="859"/>
      <c r="P648" s="859"/>
      <c r="Q648" s="859"/>
      <c r="R648" s="859"/>
      <c r="S648" s="859"/>
      <c r="T648" s="859"/>
      <c r="U648" s="859"/>
      <c r="V648" s="859"/>
      <c r="W648" s="859"/>
      <c r="X648" s="859"/>
      <c r="Y648" s="859"/>
      <c r="Z648" s="859"/>
      <c r="AA648" s="859"/>
      <c r="AB648" s="859"/>
      <c r="AC648" s="859"/>
      <c r="AD648" s="859"/>
      <c r="AE648" s="869"/>
      <c r="AF648" s="869"/>
      <c r="AG648" s="869"/>
      <c r="AH648" s="869"/>
      <c r="AI648" s="869"/>
      <c r="AJ648" s="869"/>
      <c r="AK648" s="869"/>
      <c r="AL648" s="869"/>
      <c r="AM648" s="869"/>
      <c r="AN648" s="869"/>
      <c r="AO648" s="869"/>
      <c r="AP648" s="869"/>
      <c r="AQ648" s="869"/>
      <c r="AR648" s="869"/>
      <c r="AS648" s="869"/>
      <c r="AT648" s="869"/>
      <c r="AU648" s="869"/>
      <c r="AV648" s="869"/>
      <c r="AW648" s="869"/>
      <c r="AX648" s="869"/>
    </row>
    <row r="649" spans="8:8" customHeight="1">
      <c r="A649" s="859"/>
      <c r="B649" s="859"/>
      <c r="C649" s="859"/>
      <c r="D649" s="859"/>
      <c r="E649" s="975"/>
      <c r="F649" s="859"/>
      <c r="G649" s="859"/>
      <c r="H649" s="859"/>
      <c r="I649" s="859"/>
      <c r="J649" s="859"/>
      <c r="K649" s="859"/>
      <c r="L649" s="859"/>
      <c r="M649" s="859"/>
      <c r="N649" s="859"/>
      <c r="O649" s="859"/>
      <c r="P649" s="859"/>
      <c r="Q649" s="859"/>
      <c r="R649" s="859"/>
      <c r="S649" s="859"/>
      <c r="T649" s="859"/>
      <c r="U649" s="859"/>
      <c r="V649" s="859"/>
      <c r="W649" s="859"/>
      <c r="X649" s="859"/>
      <c r="Y649" s="859"/>
      <c r="Z649" s="859"/>
      <c r="AA649" s="859"/>
      <c r="AB649" s="859"/>
      <c r="AC649" s="859"/>
      <c r="AD649" s="859"/>
      <c r="AE649" s="869"/>
      <c r="AF649" s="869"/>
      <c r="AG649" s="869"/>
      <c r="AH649" s="869"/>
      <c r="AI649" s="869"/>
      <c r="AJ649" s="869"/>
      <c r="AK649" s="869"/>
      <c r="AL649" s="869"/>
      <c r="AM649" s="869"/>
      <c r="AN649" s="869"/>
      <c r="AO649" s="869"/>
      <c r="AP649" s="869"/>
      <c r="AQ649" s="869"/>
      <c r="AR649" s="869"/>
      <c r="AS649" s="869"/>
      <c r="AT649" s="869"/>
      <c r="AU649" s="869"/>
      <c r="AV649" s="869"/>
      <c r="AW649" s="869"/>
      <c r="AX649" s="869"/>
    </row>
    <row r="650" spans="8:8" customHeight="1">
      <c r="A650" s="859"/>
      <c r="B650" s="859"/>
      <c r="C650" s="859"/>
      <c r="D650" s="859"/>
      <c r="E650" s="975"/>
      <c r="F650" s="859"/>
      <c r="G650" s="859"/>
      <c r="H650" s="859"/>
      <c r="I650" s="859"/>
      <c r="J650" s="859"/>
      <c r="K650" s="859"/>
      <c r="L650" s="859"/>
      <c r="M650" s="859"/>
      <c r="N650" s="859"/>
      <c r="O650" s="859"/>
      <c r="P650" s="859"/>
      <c r="Q650" s="859"/>
      <c r="R650" s="859"/>
      <c r="S650" s="859"/>
      <c r="T650" s="859"/>
      <c r="U650" s="859"/>
      <c r="V650" s="859"/>
      <c r="W650" s="859"/>
      <c r="X650" s="859"/>
      <c r="Y650" s="859"/>
      <c r="Z650" s="859"/>
      <c r="AA650" s="859"/>
      <c r="AB650" s="859"/>
      <c r="AC650" s="859"/>
      <c r="AD650" s="859"/>
      <c r="AE650" s="869"/>
      <c r="AF650" s="869"/>
      <c r="AG650" s="869"/>
      <c r="AH650" s="869"/>
      <c r="AI650" s="869"/>
      <c r="AJ650" s="869"/>
      <c r="AK650" s="869"/>
      <c r="AL650" s="869"/>
      <c r="AM650" s="869"/>
      <c r="AN650" s="869"/>
      <c r="AO650" s="869"/>
      <c r="AP650" s="869"/>
      <c r="AQ650" s="869"/>
      <c r="AR650" s="869"/>
      <c r="AS650" s="869"/>
      <c r="AT650" s="869"/>
      <c r="AU650" s="869"/>
      <c r="AV650" s="869"/>
      <c r="AW650" s="869"/>
      <c r="AX650" s="869"/>
    </row>
    <row r="651" spans="8:8" customHeight="1">
      <c r="A651" s="859"/>
      <c r="B651" s="859"/>
      <c r="C651" s="859"/>
      <c r="D651" s="859"/>
      <c r="E651" s="975"/>
      <c r="F651" s="859"/>
      <c r="G651" s="859"/>
      <c r="H651" s="859"/>
      <c r="I651" s="859"/>
      <c r="J651" s="859"/>
      <c r="K651" s="859"/>
      <c r="L651" s="859"/>
      <c r="M651" s="859"/>
      <c r="N651" s="859"/>
      <c r="O651" s="859"/>
      <c r="P651" s="859"/>
      <c r="Q651" s="859"/>
      <c r="R651" s="859"/>
      <c r="S651" s="859"/>
      <c r="T651" s="859"/>
      <c r="U651" s="859"/>
      <c r="V651" s="859"/>
      <c r="W651" s="859"/>
      <c r="X651" s="859"/>
      <c r="Y651" s="859"/>
      <c r="Z651" s="859"/>
      <c r="AA651" s="859"/>
      <c r="AB651" s="859"/>
      <c r="AC651" s="859"/>
      <c r="AD651" s="859"/>
      <c r="AE651" s="869"/>
      <c r="AF651" s="869"/>
      <c r="AG651" s="869"/>
      <c r="AH651" s="869"/>
      <c r="AI651" s="869"/>
      <c r="AJ651" s="869"/>
      <c r="AK651" s="869"/>
      <c r="AL651" s="869"/>
      <c r="AM651" s="869"/>
      <c r="AN651" s="869"/>
      <c r="AO651" s="869"/>
      <c r="AP651" s="869"/>
      <c r="AQ651" s="869"/>
      <c r="AR651" s="869"/>
      <c r="AS651" s="869"/>
      <c r="AT651" s="869"/>
      <c r="AU651" s="869"/>
      <c r="AV651" s="869"/>
      <c r="AW651" s="869"/>
      <c r="AX651" s="869"/>
    </row>
    <row r="652" spans="8:8" customHeight="1">
      <c r="A652" s="859"/>
      <c r="B652" s="859"/>
      <c r="C652" s="859"/>
      <c r="D652" s="859"/>
      <c r="E652" s="975"/>
      <c r="F652" s="859"/>
      <c r="G652" s="859"/>
      <c r="H652" s="859"/>
      <c r="I652" s="859"/>
      <c r="J652" s="859"/>
      <c r="K652" s="859"/>
      <c r="L652" s="859"/>
      <c r="M652" s="859"/>
      <c r="N652" s="859"/>
      <c r="O652" s="859"/>
      <c r="P652" s="859"/>
      <c r="Q652" s="859"/>
      <c r="R652" s="859"/>
      <c r="S652" s="859"/>
      <c r="T652" s="859"/>
      <c r="U652" s="859"/>
      <c r="V652" s="859"/>
      <c r="W652" s="859"/>
      <c r="X652" s="859"/>
      <c r="Y652" s="859"/>
      <c r="Z652" s="859"/>
      <c r="AA652" s="859"/>
      <c r="AB652" s="859"/>
      <c r="AC652" s="859"/>
      <c r="AD652" s="859"/>
      <c r="AE652" s="869"/>
      <c r="AF652" s="869"/>
      <c r="AG652" s="869"/>
      <c r="AH652" s="869"/>
      <c r="AI652" s="869"/>
      <c r="AJ652" s="869"/>
      <c r="AK652" s="869"/>
      <c r="AL652" s="869"/>
      <c r="AM652" s="869"/>
      <c r="AN652" s="869"/>
      <c r="AO652" s="869"/>
      <c r="AP652" s="869"/>
      <c r="AQ652" s="869"/>
      <c r="AR652" s="869"/>
      <c r="AS652" s="869"/>
      <c r="AT652" s="869"/>
      <c r="AU652" s="869"/>
      <c r="AV652" s="869"/>
      <c r="AW652" s="869"/>
      <c r="AX652" s="869"/>
    </row>
    <row r="653" spans="8:8" customHeight="1">
      <c r="A653" s="859"/>
      <c r="B653" s="859"/>
      <c r="C653" s="859"/>
      <c r="D653" s="859"/>
      <c r="E653" s="975"/>
      <c r="F653" s="859"/>
      <c r="G653" s="859"/>
      <c r="H653" s="859"/>
      <c r="I653" s="859"/>
      <c r="J653" s="859"/>
      <c r="K653" s="859"/>
      <c r="L653" s="859"/>
      <c r="M653" s="859"/>
      <c r="N653" s="859"/>
      <c r="O653" s="859"/>
      <c r="P653" s="859"/>
      <c r="Q653" s="859"/>
      <c r="R653" s="859"/>
      <c r="S653" s="859"/>
      <c r="T653" s="859"/>
      <c r="U653" s="859"/>
      <c r="V653" s="859"/>
      <c r="W653" s="859"/>
      <c r="X653" s="859"/>
      <c r="Y653" s="859"/>
      <c r="Z653" s="859"/>
      <c r="AA653" s="859"/>
      <c r="AB653" s="859"/>
      <c r="AC653" s="859"/>
      <c r="AD653" s="859"/>
      <c r="AE653" s="869"/>
      <c r="AF653" s="869"/>
      <c r="AG653" s="869"/>
      <c r="AH653" s="869"/>
      <c r="AI653" s="869"/>
      <c r="AJ653" s="869"/>
      <c r="AK653" s="869"/>
      <c r="AL653" s="869"/>
      <c r="AM653" s="869"/>
      <c r="AN653" s="869"/>
      <c r="AO653" s="869"/>
      <c r="AP653" s="869"/>
      <c r="AQ653" s="869"/>
      <c r="AR653" s="869"/>
      <c r="AS653" s="869"/>
      <c r="AT653" s="869"/>
      <c r="AU653" s="869"/>
      <c r="AV653" s="869"/>
      <c r="AW653" s="869"/>
      <c r="AX653" s="869"/>
    </row>
    <row r="654" spans="8:8" customHeight="1">
      <c r="A654" s="859"/>
      <c r="B654" s="859"/>
      <c r="C654" s="859"/>
      <c r="D654" s="859"/>
      <c r="E654" s="975"/>
      <c r="F654" s="859"/>
      <c r="G654" s="859"/>
      <c r="H654" s="859"/>
      <c r="I654" s="859"/>
      <c r="J654" s="859"/>
      <c r="K654" s="859"/>
      <c r="L654" s="859"/>
      <c r="M654" s="859"/>
      <c r="N654" s="859"/>
      <c r="O654" s="859"/>
      <c r="P654" s="859"/>
      <c r="Q654" s="859"/>
      <c r="R654" s="859"/>
      <c r="S654" s="859"/>
      <c r="T654" s="859"/>
      <c r="U654" s="859"/>
      <c r="V654" s="859"/>
      <c r="W654" s="859"/>
      <c r="X654" s="859"/>
      <c r="Y654" s="859"/>
      <c r="Z654" s="859"/>
      <c r="AA654" s="859"/>
      <c r="AB654" s="859"/>
      <c r="AC654" s="859"/>
      <c r="AD654" s="859"/>
      <c r="AE654" s="869"/>
      <c r="AF654" s="869"/>
      <c r="AG654" s="869"/>
      <c r="AH654" s="869"/>
      <c r="AI654" s="869"/>
      <c r="AJ654" s="869"/>
      <c r="AK654" s="869"/>
      <c r="AL654" s="869"/>
      <c r="AM654" s="869"/>
      <c r="AN654" s="869"/>
      <c r="AO654" s="869"/>
      <c r="AP654" s="869"/>
      <c r="AQ654" s="869"/>
      <c r="AR654" s="869"/>
      <c r="AS654" s="869"/>
      <c r="AT654" s="869"/>
      <c r="AU654" s="869"/>
      <c r="AV654" s="869"/>
      <c r="AW654" s="869"/>
      <c r="AX654" s="869"/>
    </row>
    <row r="655" spans="8:8" customHeight="1">
      <c r="A655" s="859"/>
      <c r="B655" s="859"/>
      <c r="C655" s="859"/>
      <c r="D655" s="859"/>
      <c r="E655" s="975"/>
      <c r="F655" s="859"/>
      <c r="G655" s="859"/>
      <c r="H655" s="859"/>
      <c r="I655" s="859"/>
      <c r="J655" s="859"/>
      <c r="K655" s="859"/>
      <c r="L655" s="859"/>
      <c r="M655" s="859"/>
      <c r="N655" s="859"/>
      <c r="O655" s="859"/>
      <c r="P655" s="859"/>
      <c r="Q655" s="859"/>
      <c r="R655" s="859"/>
      <c r="S655" s="859"/>
      <c r="T655" s="859"/>
      <c r="U655" s="859"/>
      <c r="V655" s="859"/>
      <c r="W655" s="859"/>
      <c r="X655" s="859"/>
      <c r="Y655" s="859"/>
      <c r="Z655" s="859"/>
      <c r="AA655" s="859"/>
      <c r="AB655" s="859"/>
      <c r="AC655" s="859"/>
      <c r="AD655" s="859"/>
      <c r="AE655" s="869"/>
      <c r="AF655" s="869"/>
      <c r="AG655" s="869"/>
      <c r="AH655" s="869"/>
      <c r="AI655" s="869"/>
      <c r="AJ655" s="869"/>
      <c r="AK655" s="869"/>
      <c r="AL655" s="869"/>
      <c r="AM655" s="869"/>
      <c r="AN655" s="869"/>
      <c r="AO655" s="869"/>
      <c r="AP655" s="869"/>
      <c r="AQ655" s="869"/>
      <c r="AR655" s="869"/>
      <c r="AS655" s="869"/>
      <c r="AT655" s="869"/>
      <c r="AU655" s="869"/>
      <c r="AV655" s="869"/>
      <c r="AW655" s="869"/>
      <c r="AX655" s="869"/>
    </row>
    <row r="656" spans="8:8" customHeight="1">
      <c r="A656" s="859"/>
      <c r="B656" s="859"/>
      <c r="C656" s="859"/>
      <c r="D656" s="859"/>
      <c r="E656" s="975"/>
      <c r="F656" s="859"/>
      <c r="G656" s="859"/>
      <c r="H656" s="859"/>
      <c r="I656" s="859"/>
      <c r="J656" s="859"/>
      <c r="K656" s="859"/>
      <c r="L656" s="859"/>
      <c r="M656" s="859"/>
      <c r="N656" s="859"/>
      <c r="O656" s="859"/>
      <c r="P656" s="859"/>
      <c r="Q656" s="859"/>
      <c r="R656" s="859"/>
      <c r="S656" s="859"/>
      <c r="T656" s="859"/>
      <c r="U656" s="859"/>
      <c r="V656" s="859"/>
      <c r="W656" s="859"/>
      <c r="X656" s="859"/>
      <c r="Y656" s="859"/>
      <c r="Z656" s="859"/>
      <c r="AA656" s="859"/>
      <c r="AB656" s="859"/>
      <c r="AC656" s="859"/>
      <c r="AD656" s="859"/>
      <c r="AE656" s="869"/>
      <c r="AF656" s="869"/>
      <c r="AG656" s="869"/>
      <c r="AH656" s="869"/>
      <c r="AI656" s="869"/>
      <c r="AJ656" s="869"/>
      <c r="AK656" s="869"/>
      <c r="AL656" s="869"/>
      <c r="AM656" s="869"/>
      <c r="AN656" s="869"/>
      <c r="AO656" s="869"/>
      <c r="AP656" s="869"/>
      <c r="AQ656" s="869"/>
      <c r="AR656" s="869"/>
      <c r="AS656" s="869"/>
      <c r="AT656" s="869"/>
      <c r="AU656" s="869"/>
      <c r="AV656" s="869"/>
      <c r="AW656" s="869"/>
      <c r="AX656" s="869"/>
    </row>
    <row r="657" spans="8:8" customHeight="1">
      <c r="A657" s="859"/>
      <c r="B657" s="859"/>
      <c r="C657" s="859"/>
      <c r="D657" s="859"/>
      <c r="E657" s="975"/>
      <c r="F657" s="859"/>
      <c r="G657" s="859"/>
      <c r="H657" s="859"/>
      <c r="I657" s="859"/>
      <c r="J657" s="859"/>
      <c r="K657" s="859"/>
      <c r="L657" s="859"/>
      <c r="M657" s="859"/>
      <c r="N657" s="859"/>
      <c r="O657" s="859"/>
      <c r="P657" s="859"/>
      <c r="Q657" s="859"/>
      <c r="R657" s="859"/>
      <c r="S657" s="859"/>
      <c r="T657" s="859"/>
      <c r="U657" s="859"/>
      <c r="V657" s="859"/>
      <c r="W657" s="859"/>
      <c r="X657" s="859"/>
      <c r="Y657" s="859"/>
      <c r="Z657" s="859"/>
      <c r="AA657" s="859"/>
      <c r="AB657" s="859"/>
      <c r="AC657" s="859"/>
      <c r="AD657" s="859"/>
      <c r="AE657" s="869"/>
      <c r="AF657" s="869"/>
      <c r="AG657" s="869"/>
      <c r="AH657" s="869"/>
      <c r="AI657" s="869"/>
      <c r="AJ657" s="869"/>
      <c r="AK657" s="869"/>
      <c r="AL657" s="869"/>
      <c r="AM657" s="869"/>
      <c r="AN657" s="869"/>
      <c r="AO657" s="869"/>
      <c r="AP657" s="869"/>
      <c r="AQ657" s="869"/>
      <c r="AR657" s="869"/>
      <c r="AS657" s="869"/>
      <c r="AT657" s="869"/>
      <c r="AU657" s="869"/>
      <c r="AV657" s="869"/>
      <c r="AW657" s="869"/>
      <c r="AX657" s="869"/>
    </row>
    <row r="658" spans="8:8" customHeight="1">
      <c r="A658" s="859"/>
      <c r="B658" s="859"/>
      <c r="C658" s="859"/>
      <c r="D658" s="859"/>
      <c r="E658" s="975"/>
      <c r="F658" s="859"/>
      <c r="G658" s="859"/>
      <c r="H658" s="859"/>
      <c r="I658" s="859"/>
      <c r="J658" s="859"/>
      <c r="K658" s="859"/>
      <c r="L658" s="859"/>
      <c r="M658" s="859"/>
      <c r="N658" s="859"/>
      <c r="O658" s="859"/>
      <c r="P658" s="859"/>
      <c r="Q658" s="859"/>
      <c r="R658" s="859"/>
      <c r="S658" s="859"/>
      <c r="T658" s="859"/>
      <c r="U658" s="859"/>
      <c r="V658" s="859"/>
      <c r="W658" s="859"/>
      <c r="X658" s="859"/>
      <c r="Y658" s="859"/>
      <c r="Z658" s="859"/>
      <c r="AA658" s="859"/>
      <c r="AB658" s="859"/>
      <c r="AC658" s="859"/>
      <c r="AD658" s="859"/>
      <c r="AE658" s="869"/>
      <c r="AF658" s="869"/>
      <c r="AG658" s="869"/>
      <c r="AH658" s="869"/>
      <c r="AI658" s="869"/>
      <c r="AJ658" s="869"/>
      <c r="AK658" s="869"/>
      <c r="AL658" s="869"/>
      <c r="AM658" s="869"/>
      <c r="AN658" s="869"/>
      <c r="AO658" s="869"/>
      <c r="AP658" s="869"/>
      <c r="AQ658" s="869"/>
      <c r="AR658" s="869"/>
      <c r="AS658" s="869"/>
      <c r="AT658" s="869"/>
      <c r="AU658" s="869"/>
      <c r="AV658" s="869"/>
      <c r="AW658" s="869"/>
      <c r="AX658" s="869"/>
    </row>
    <row r="659" spans="8:8" customHeight="1">
      <c r="A659" s="859"/>
      <c r="B659" s="859"/>
      <c r="C659" s="859"/>
      <c r="D659" s="859"/>
      <c r="E659" s="975"/>
      <c r="F659" s="859"/>
      <c r="G659" s="859"/>
      <c r="H659" s="859"/>
      <c r="I659" s="859"/>
      <c r="J659" s="859"/>
      <c r="K659" s="859"/>
      <c r="L659" s="859"/>
      <c r="M659" s="859"/>
      <c r="N659" s="859"/>
      <c r="O659" s="859"/>
      <c r="P659" s="859"/>
      <c r="Q659" s="859"/>
      <c r="R659" s="859"/>
      <c r="S659" s="859"/>
      <c r="T659" s="859"/>
      <c r="U659" s="859"/>
      <c r="V659" s="859"/>
      <c r="W659" s="859"/>
      <c r="X659" s="859"/>
      <c r="Y659" s="859"/>
      <c r="Z659" s="859"/>
      <c r="AA659" s="859"/>
      <c r="AB659" s="859"/>
      <c r="AC659" s="859"/>
      <c r="AD659" s="859"/>
      <c r="AE659" s="869"/>
      <c r="AF659" s="869"/>
      <c r="AG659" s="869"/>
      <c r="AH659" s="869"/>
      <c r="AI659" s="869"/>
      <c r="AJ659" s="869"/>
      <c r="AK659" s="869"/>
      <c r="AL659" s="869"/>
      <c r="AM659" s="869"/>
      <c r="AN659" s="869"/>
      <c r="AO659" s="869"/>
      <c r="AP659" s="869"/>
      <c r="AQ659" s="869"/>
      <c r="AR659" s="869"/>
      <c r="AS659" s="869"/>
      <c r="AT659" s="869"/>
      <c r="AU659" s="869"/>
      <c r="AV659" s="869"/>
      <c r="AW659" s="869"/>
      <c r="AX659" s="869"/>
    </row>
    <row r="660" spans="8:8" customHeight="1">
      <c r="A660" s="859"/>
      <c r="B660" s="859"/>
      <c r="C660" s="859"/>
      <c r="D660" s="859"/>
      <c r="E660" s="975"/>
      <c r="F660" s="859"/>
      <c r="G660" s="859"/>
      <c r="H660" s="859"/>
      <c r="I660" s="859"/>
      <c r="J660" s="859"/>
      <c r="K660" s="859"/>
      <c r="L660" s="859"/>
      <c r="M660" s="859"/>
      <c r="N660" s="859"/>
      <c r="O660" s="859"/>
      <c r="P660" s="859"/>
      <c r="Q660" s="859"/>
      <c r="R660" s="859"/>
      <c r="S660" s="859"/>
      <c r="T660" s="859"/>
      <c r="U660" s="859"/>
      <c r="V660" s="859"/>
      <c r="W660" s="859"/>
      <c r="X660" s="859"/>
      <c r="Y660" s="859"/>
      <c r="Z660" s="859"/>
      <c r="AA660" s="859"/>
      <c r="AB660" s="859"/>
      <c r="AC660" s="859"/>
      <c r="AD660" s="859"/>
      <c r="AE660" s="869"/>
      <c r="AF660" s="869"/>
      <c r="AG660" s="869"/>
      <c r="AH660" s="869"/>
      <c r="AI660" s="869"/>
      <c r="AJ660" s="869"/>
      <c r="AK660" s="869"/>
      <c r="AL660" s="869"/>
      <c r="AM660" s="869"/>
      <c r="AN660" s="869"/>
      <c r="AO660" s="869"/>
      <c r="AP660" s="869"/>
      <c r="AQ660" s="869"/>
      <c r="AR660" s="869"/>
      <c r="AS660" s="869"/>
      <c r="AT660" s="869"/>
      <c r="AU660" s="869"/>
      <c r="AV660" s="869"/>
      <c r="AW660" s="869"/>
      <c r="AX660" s="869"/>
    </row>
    <row r="661" spans="8:8" customHeight="1">
      <c r="A661" s="859"/>
      <c r="B661" s="859"/>
      <c r="C661" s="859"/>
      <c r="D661" s="859"/>
      <c r="E661" s="975"/>
      <c r="F661" s="859"/>
      <c r="G661" s="859"/>
      <c r="H661" s="859"/>
      <c r="I661" s="859"/>
      <c r="J661" s="859"/>
      <c r="K661" s="859"/>
      <c r="L661" s="859"/>
      <c r="M661" s="859"/>
      <c r="N661" s="859"/>
      <c r="O661" s="859"/>
      <c r="P661" s="859"/>
      <c r="Q661" s="859"/>
      <c r="R661" s="859"/>
      <c r="S661" s="859"/>
      <c r="T661" s="859"/>
      <c r="U661" s="859"/>
      <c r="V661" s="859"/>
      <c r="W661" s="859"/>
      <c r="X661" s="859"/>
      <c r="Y661" s="859"/>
      <c r="Z661" s="859"/>
      <c r="AA661" s="859"/>
      <c r="AB661" s="859"/>
      <c r="AC661" s="859"/>
      <c r="AD661" s="859"/>
      <c r="AE661" s="869"/>
      <c r="AF661" s="869"/>
      <c r="AG661" s="869"/>
      <c r="AH661" s="869"/>
      <c r="AI661" s="869"/>
      <c r="AJ661" s="869"/>
      <c r="AK661" s="869"/>
      <c r="AL661" s="869"/>
      <c r="AM661" s="869"/>
      <c r="AN661" s="869"/>
      <c r="AO661" s="869"/>
      <c r="AP661" s="869"/>
      <c r="AQ661" s="869"/>
      <c r="AR661" s="869"/>
      <c r="AS661" s="869"/>
      <c r="AT661" s="869"/>
      <c r="AU661" s="869"/>
      <c r="AV661" s="869"/>
      <c r="AW661" s="869"/>
      <c r="AX661" s="869"/>
    </row>
    <row r="662" spans="8:8" customHeight="1">
      <c r="A662" s="859"/>
      <c r="B662" s="859"/>
      <c r="C662" s="859"/>
      <c r="D662" s="859"/>
      <c r="E662" s="975"/>
      <c r="F662" s="859"/>
      <c r="G662" s="859"/>
      <c r="H662" s="859"/>
      <c r="I662" s="859"/>
      <c r="J662" s="859"/>
      <c r="K662" s="859"/>
      <c r="L662" s="859"/>
      <c r="M662" s="859"/>
      <c r="N662" s="859"/>
      <c r="O662" s="859"/>
      <c r="P662" s="859"/>
      <c r="Q662" s="859"/>
      <c r="R662" s="859"/>
      <c r="S662" s="859"/>
      <c r="T662" s="859"/>
      <c r="U662" s="859"/>
      <c r="V662" s="859"/>
      <c r="W662" s="859"/>
      <c r="X662" s="859"/>
      <c r="Y662" s="859"/>
      <c r="Z662" s="859"/>
      <c r="AA662" s="859"/>
      <c r="AB662" s="859"/>
      <c r="AC662" s="859"/>
      <c r="AD662" s="859"/>
      <c r="AE662" s="869"/>
      <c r="AF662" s="869"/>
      <c r="AG662" s="869"/>
      <c r="AH662" s="869"/>
      <c r="AI662" s="869"/>
      <c r="AJ662" s="869"/>
      <c r="AK662" s="869"/>
      <c r="AL662" s="869"/>
      <c r="AM662" s="869"/>
      <c r="AN662" s="869"/>
      <c r="AO662" s="869"/>
      <c r="AP662" s="869"/>
      <c r="AQ662" s="869"/>
      <c r="AR662" s="869"/>
      <c r="AS662" s="869"/>
      <c r="AT662" s="869"/>
      <c r="AU662" s="869"/>
      <c r="AV662" s="869"/>
      <c r="AW662" s="869"/>
      <c r="AX662" s="869"/>
    </row>
    <row r="663" spans="8:8" customHeight="1">
      <c r="A663" s="859"/>
      <c r="B663" s="859"/>
      <c r="C663" s="859"/>
      <c r="D663" s="859"/>
      <c r="E663" s="975"/>
      <c r="F663" s="859"/>
      <c r="G663" s="859"/>
      <c r="H663" s="859"/>
      <c r="I663" s="859"/>
      <c r="J663" s="859"/>
      <c r="K663" s="859"/>
      <c r="L663" s="859"/>
      <c r="M663" s="859"/>
      <c r="N663" s="859"/>
      <c r="O663" s="859"/>
      <c r="P663" s="859"/>
      <c r="Q663" s="859"/>
      <c r="R663" s="859"/>
      <c r="S663" s="859"/>
      <c r="T663" s="859"/>
      <c r="U663" s="859"/>
      <c r="V663" s="859"/>
      <c r="W663" s="859"/>
      <c r="X663" s="859"/>
      <c r="Y663" s="859"/>
      <c r="Z663" s="859"/>
      <c r="AA663" s="859"/>
      <c r="AB663" s="859"/>
      <c r="AC663" s="859"/>
      <c r="AD663" s="859"/>
      <c r="AE663" s="869"/>
      <c r="AF663" s="869"/>
      <c r="AG663" s="869"/>
      <c r="AH663" s="869"/>
      <c r="AI663" s="869"/>
      <c r="AJ663" s="869"/>
      <c r="AK663" s="869"/>
      <c r="AL663" s="869"/>
      <c r="AM663" s="869"/>
      <c r="AN663" s="869"/>
      <c r="AO663" s="869"/>
      <c r="AP663" s="869"/>
      <c r="AQ663" s="869"/>
      <c r="AR663" s="869"/>
      <c r="AS663" s="869"/>
      <c r="AT663" s="869"/>
      <c r="AU663" s="869"/>
      <c r="AV663" s="869"/>
      <c r="AW663" s="869"/>
      <c r="AX663" s="869"/>
    </row>
    <row r="664" spans="8:8" customHeight="1">
      <c r="A664" s="859"/>
      <c r="B664" s="859"/>
      <c r="C664" s="859"/>
      <c r="D664" s="859"/>
      <c r="E664" s="975"/>
      <c r="F664" s="859"/>
      <c r="G664" s="859"/>
      <c r="H664" s="859"/>
      <c r="I664" s="859"/>
      <c r="J664" s="859"/>
      <c r="K664" s="859"/>
      <c r="L664" s="859"/>
      <c r="M664" s="859"/>
      <c r="N664" s="859"/>
      <c r="O664" s="859"/>
      <c r="P664" s="859"/>
      <c r="Q664" s="859"/>
      <c r="R664" s="859"/>
      <c r="S664" s="859"/>
      <c r="T664" s="859"/>
      <c r="U664" s="859"/>
      <c r="V664" s="859"/>
      <c r="W664" s="859"/>
      <c r="X664" s="859"/>
      <c r="Y664" s="859"/>
      <c r="Z664" s="859"/>
      <c r="AA664" s="859"/>
      <c r="AB664" s="859"/>
      <c r="AC664" s="859"/>
      <c r="AD664" s="859"/>
      <c r="AE664" s="869"/>
      <c r="AF664" s="869"/>
      <c r="AG664" s="869"/>
      <c r="AH664" s="869"/>
      <c r="AI664" s="869"/>
      <c r="AJ664" s="869"/>
      <c r="AK664" s="869"/>
      <c r="AL664" s="869"/>
      <c r="AM664" s="869"/>
      <c r="AN664" s="869"/>
      <c r="AO664" s="869"/>
      <c r="AP664" s="869"/>
      <c r="AQ664" s="869"/>
      <c r="AR664" s="869"/>
      <c r="AS664" s="869"/>
      <c r="AT664" s="869"/>
      <c r="AU664" s="869"/>
      <c r="AV664" s="869"/>
      <c r="AW664" s="869"/>
      <c r="AX664" s="869"/>
    </row>
    <row r="665" spans="8:8" customHeight="1">
      <c r="A665" s="859"/>
      <c r="B665" s="859"/>
      <c r="C665" s="859"/>
      <c r="D665" s="859"/>
      <c r="E665" s="975"/>
      <c r="F665" s="859"/>
      <c r="G665" s="859"/>
      <c r="H665" s="859"/>
      <c r="I665" s="859"/>
      <c r="J665" s="859"/>
      <c r="K665" s="859"/>
      <c r="L665" s="859"/>
      <c r="M665" s="859"/>
      <c r="N665" s="859"/>
      <c r="O665" s="859"/>
      <c r="P665" s="859"/>
      <c r="Q665" s="859"/>
      <c r="R665" s="859"/>
      <c r="S665" s="859"/>
      <c r="T665" s="859"/>
      <c r="U665" s="859"/>
      <c r="V665" s="859"/>
      <c r="W665" s="859"/>
      <c r="X665" s="859"/>
      <c r="Y665" s="859"/>
      <c r="Z665" s="859"/>
      <c r="AA665" s="859"/>
      <c r="AB665" s="859"/>
      <c r="AC665" s="859"/>
      <c r="AD665" s="859"/>
      <c r="AE665" s="869"/>
      <c r="AF665" s="869"/>
      <c r="AG665" s="869"/>
      <c r="AH665" s="869"/>
      <c r="AI665" s="869"/>
      <c r="AJ665" s="869"/>
      <c r="AK665" s="869"/>
      <c r="AL665" s="869"/>
      <c r="AM665" s="869"/>
      <c r="AN665" s="869"/>
      <c r="AO665" s="869"/>
      <c r="AP665" s="869"/>
      <c r="AQ665" s="869"/>
      <c r="AR665" s="869"/>
      <c r="AS665" s="869"/>
      <c r="AT665" s="869"/>
      <c r="AU665" s="869"/>
      <c r="AV665" s="869"/>
      <c r="AW665" s="869"/>
      <c r="AX665" s="869"/>
    </row>
    <row r="666" spans="8:8" customHeight="1">
      <c r="A666" s="859"/>
      <c r="B666" s="859"/>
      <c r="C666" s="859"/>
      <c r="D666" s="859"/>
      <c r="E666" s="975"/>
      <c r="F666" s="859"/>
      <c r="G666" s="859"/>
      <c r="H666" s="859"/>
      <c r="I666" s="859"/>
      <c r="J666" s="859"/>
      <c r="K666" s="859"/>
      <c r="L666" s="859"/>
      <c r="M666" s="859"/>
      <c r="N666" s="859"/>
      <c r="O666" s="859"/>
      <c r="P666" s="859"/>
      <c r="Q666" s="859"/>
      <c r="R666" s="859"/>
      <c r="S666" s="859"/>
      <c r="T666" s="859"/>
      <c r="U666" s="859"/>
      <c r="V666" s="859"/>
      <c r="W666" s="859"/>
      <c r="X666" s="859"/>
      <c r="Y666" s="859"/>
      <c r="Z666" s="859"/>
      <c r="AA666" s="859"/>
      <c r="AB666" s="859"/>
      <c r="AC666" s="859"/>
      <c r="AD666" s="859"/>
      <c r="AE666" s="869"/>
      <c r="AF666" s="869"/>
      <c r="AG666" s="869"/>
      <c r="AH666" s="869"/>
      <c r="AI666" s="869"/>
      <c r="AJ666" s="869"/>
      <c r="AK666" s="869"/>
      <c r="AL666" s="869"/>
      <c r="AM666" s="869"/>
      <c r="AN666" s="869"/>
      <c r="AO666" s="869"/>
      <c r="AP666" s="869"/>
      <c r="AQ666" s="869"/>
      <c r="AR666" s="869"/>
      <c r="AS666" s="869"/>
      <c r="AT666" s="869"/>
      <c r="AU666" s="869"/>
      <c r="AV666" s="869"/>
      <c r="AW666" s="869"/>
      <c r="AX666" s="869"/>
    </row>
    <row r="667" spans="8:8" customHeight="1">
      <c r="A667" s="859"/>
      <c r="B667" s="859"/>
      <c r="C667" s="859"/>
      <c r="D667" s="859"/>
      <c r="E667" s="975"/>
      <c r="F667" s="859"/>
      <c r="G667" s="859"/>
      <c r="H667" s="859"/>
      <c r="I667" s="859"/>
      <c r="J667" s="859"/>
      <c r="K667" s="859"/>
      <c r="L667" s="859"/>
      <c r="M667" s="859"/>
      <c r="N667" s="859"/>
      <c r="O667" s="859"/>
      <c r="P667" s="859"/>
      <c r="Q667" s="859"/>
      <c r="R667" s="859"/>
      <c r="S667" s="859"/>
      <c r="T667" s="859"/>
      <c r="U667" s="859"/>
      <c r="V667" s="859"/>
      <c r="W667" s="859"/>
      <c r="X667" s="859"/>
      <c r="Y667" s="859"/>
      <c r="Z667" s="859"/>
      <c r="AA667" s="859"/>
      <c r="AB667" s="859"/>
      <c r="AC667" s="859"/>
      <c r="AD667" s="859"/>
      <c r="AE667" s="869"/>
      <c r="AF667" s="869"/>
      <c r="AG667" s="869"/>
      <c r="AH667" s="869"/>
      <c r="AI667" s="869"/>
      <c r="AJ667" s="869"/>
      <c r="AK667" s="869"/>
      <c r="AL667" s="869"/>
      <c r="AM667" s="869"/>
      <c r="AN667" s="869"/>
      <c r="AO667" s="869"/>
      <c r="AP667" s="869"/>
      <c r="AQ667" s="869"/>
      <c r="AR667" s="869"/>
      <c r="AS667" s="869"/>
      <c r="AT667" s="869"/>
      <c r="AU667" s="869"/>
      <c r="AV667" s="869"/>
      <c r="AW667" s="869"/>
      <c r="AX667" s="869"/>
    </row>
    <row r="668" spans="8:8" customHeight="1">
      <c r="A668" s="859"/>
      <c r="B668" s="859"/>
      <c r="C668" s="859"/>
      <c r="D668" s="859"/>
      <c r="E668" s="975"/>
      <c r="F668" s="859"/>
      <c r="G668" s="859"/>
      <c r="H668" s="859"/>
      <c r="I668" s="859"/>
      <c r="J668" s="859"/>
      <c r="K668" s="859"/>
      <c r="L668" s="859"/>
      <c r="M668" s="859"/>
      <c r="N668" s="859"/>
      <c r="O668" s="859"/>
      <c r="P668" s="859"/>
      <c r="Q668" s="859"/>
      <c r="R668" s="859"/>
      <c r="S668" s="859"/>
      <c r="T668" s="859"/>
      <c r="U668" s="859"/>
      <c r="V668" s="859"/>
      <c r="W668" s="859"/>
      <c r="X668" s="859"/>
      <c r="Y668" s="859"/>
      <c r="Z668" s="859"/>
      <c r="AA668" s="859"/>
      <c r="AB668" s="859"/>
      <c r="AC668" s="859"/>
      <c r="AD668" s="859"/>
      <c r="AE668" s="869"/>
      <c r="AF668" s="869"/>
      <c r="AG668" s="869"/>
      <c r="AH668" s="869"/>
      <c r="AI668" s="869"/>
      <c r="AJ668" s="869"/>
      <c r="AK668" s="869"/>
      <c r="AL668" s="869"/>
      <c r="AM668" s="869"/>
      <c r="AN668" s="869"/>
      <c r="AO668" s="869"/>
      <c r="AP668" s="869"/>
      <c r="AQ668" s="869"/>
      <c r="AR668" s="869"/>
      <c r="AS668" s="869"/>
      <c r="AT668" s="869"/>
      <c r="AU668" s="869"/>
      <c r="AV668" s="869"/>
      <c r="AW668" s="869"/>
      <c r="AX668" s="869"/>
    </row>
    <row r="669" spans="8:8" customHeight="1">
      <c r="A669" s="859"/>
      <c r="B669" s="859"/>
      <c r="C669" s="859"/>
      <c r="D669" s="859"/>
      <c r="E669" s="975"/>
      <c r="F669" s="859"/>
      <c r="G669" s="859"/>
      <c r="H669" s="859"/>
      <c r="I669" s="859"/>
      <c r="J669" s="859"/>
      <c r="K669" s="859"/>
      <c r="L669" s="859"/>
      <c r="M669" s="859"/>
      <c r="N669" s="859"/>
      <c r="O669" s="859"/>
      <c r="P669" s="859"/>
      <c r="Q669" s="859"/>
      <c r="R669" s="859"/>
      <c r="S669" s="859"/>
      <c r="T669" s="859"/>
      <c r="U669" s="859"/>
      <c r="V669" s="859"/>
      <c r="W669" s="859"/>
      <c r="X669" s="859"/>
      <c r="Y669" s="859"/>
      <c r="Z669" s="859"/>
      <c r="AA669" s="859"/>
      <c r="AB669" s="859"/>
      <c r="AC669" s="859"/>
      <c r="AD669" s="859"/>
      <c r="AE669" s="869"/>
      <c r="AF669" s="869"/>
      <c r="AG669" s="869"/>
      <c r="AH669" s="869"/>
      <c r="AI669" s="869"/>
      <c r="AJ669" s="869"/>
      <c r="AK669" s="869"/>
      <c r="AL669" s="869"/>
      <c r="AM669" s="869"/>
      <c r="AN669" s="869"/>
      <c r="AO669" s="869"/>
      <c r="AP669" s="869"/>
      <c r="AQ669" s="869"/>
      <c r="AR669" s="869"/>
      <c r="AS669" s="869"/>
      <c r="AT669" s="869"/>
      <c r="AU669" s="869"/>
      <c r="AV669" s="869"/>
      <c r="AW669" s="869"/>
      <c r="AX669" s="869"/>
    </row>
    <row r="670" spans="8:8" customHeight="1">
      <c r="A670" s="859"/>
      <c r="B670" s="859"/>
      <c r="C670" s="859"/>
      <c r="D670" s="859"/>
      <c r="E670" s="975"/>
      <c r="F670" s="859"/>
      <c r="G670" s="859"/>
      <c r="H670" s="859"/>
      <c r="I670" s="859"/>
      <c r="J670" s="859"/>
      <c r="K670" s="859"/>
      <c r="L670" s="859"/>
      <c r="M670" s="859"/>
      <c r="N670" s="859"/>
      <c r="O670" s="859"/>
      <c r="P670" s="859"/>
      <c r="Q670" s="859"/>
      <c r="R670" s="859"/>
      <c r="S670" s="859"/>
      <c r="T670" s="859"/>
      <c r="U670" s="859"/>
      <c r="V670" s="859"/>
      <c r="W670" s="859"/>
      <c r="X670" s="859"/>
      <c r="Y670" s="859"/>
      <c r="Z670" s="859"/>
      <c r="AA670" s="859"/>
      <c r="AB670" s="859"/>
      <c r="AC670" s="859"/>
      <c r="AD670" s="859"/>
      <c r="AE670" s="869"/>
      <c r="AF670" s="869"/>
      <c r="AG670" s="869"/>
      <c r="AH670" s="869"/>
      <c r="AI670" s="869"/>
      <c r="AJ670" s="869"/>
      <c r="AK670" s="869"/>
      <c r="AL670" s="869"/>
      <c r="AM670" s="869"/>
      <c r="AN670" s="869"/>
      <c r="AO670" s="869"/>
      <c r="AP670" s="869"/>
      <c r="AQ670" s="869"/>
      <c r="AR670" s="869"/>
      <c r="AS670" s="869"/>
      <c r="AT670" s="869"/>
      <c r="AU670" s="869"/>
      <c r="AV670" s="869"/>
      <c r="AW670" s="869"/>
      <c r="AX670" s="869"/>
    </row>
    <row r="671" spans="8:8" customHeight="1">
      <c r="A671" s="976"/>
      <c r="B671" s="976"/>
      <c r="C671" s="976"/>
      <c r="D671" s="976"/>
      <c r="E671" s="977"/>
      <c r="F671" s="976"/>
      <c r="G671" s="976"/>
      <c r="H671" s="976"/>
      <c r="I671" s="976"/>
      <c r="J671" s="976"/>
      <c r="K671" s="976"/>
      <c r="L671" s="976"/>
      <c r="M671" s="976"/>
      <c r="N671" s="976"/>
      <c r="O671" s="976"/>
      <c r="P671" s="976"/>
      <c r="Q671" s="976"/>
      <c r="R671" s="976"/>
      <c r="S671" s="976"/>
      <c r="T671" s="976"/>
      <c r="U671" s="976"/>
      <c r="V671" s="976"/>
      <c r="W671" s="976"/>
      <c r="X671" s="976"/>
      <c r="Y671" s="976"/>
      <c r="Z671" s="976"/>
      <c r="AA671" s="976"/>
      <c r="AB671" s="976"/>
      <c r="AC671" s="976"/>
      <c r="AD671" s="976"/>
    </row>
    <row r="672" spans="8:8" customHeight="1">
      <c r="A672" s="976"/>
      <c r="B672" s="976"/>
      <c r="C672" s="976"/>
      <c r="D672" s="976"/>
      <c r="E672" s="977"/>
      <c r="F672" s="976"/>
      <c r="G672" s="976"/>
      <c r="H672" s="976"/>
      <c r="I672" s="976"/>
      <c r="J672" s="976"/>
      <c r="K672" s="976"/>
      <c r="L672" s="976"/>
      <c r="M672" s="976"/>
      <c r="N672" s="976"/>
      <c r="O672" s="976"/>
      <c r="P672" s="976"/>
      <c r="Q672" s="976"/>
      <c r="R672" s="976"/>
      <c r="S672" s="976"/>
      <c r="T672" s="976"/>
      <c r="U672" s="976"/>
      <c r="V672" s="976"/>
      <c r="W672" s="976"/>
      <c r="X672" s="976"/>
      <c r="Y672" s="976"/>
      <c r="Z672" s="976"/>
      <c r="AA672" s="976"/>
      <c r="AB672" s="976"/>
      <c r="AC672" s="976"/>
      <c r="AD672" s="976"/>
    </row>
    <row r="673" spans="8:8">
      <c r="A673" s="976"/>
      <c r="B673" s="976"/>
      <c r="C673" s="976"/>
      <c r="D673" s="976"/>
      <c r="E673" s="977"/>
      <c r="F673" s="976"/>
      <c r="G673" s="976"/>
      <c r="H673" s="976"/>
      <c r="I673" s="976"/>
      <c r="J673" s="976"/>
      <c r="K673" s="976"/>
      <c r="L673" s="976"/>
      <c r="M673" s="976"/>
      <c r="N673" s="976"/>
      <c r="O673" s="976"/>
      <c r="P673" s="976"/>
      <c r="Q673" s="976"/>
      <c r="R673" s="976"/>
      <c r="S673" s="976"/>
      <c r="T673" s="976"/>
      <c r="U673" s="976"/>
      <c r="V673" s="976"/>
      <c r="W673" s="976"/>
      <c r="X673" s="976"/>
      <c r="Y673" s="976"/>
      <c r="Z673" s="976"/>
      <c r="AA673" s="976"/>
      <c r="AB673" s="976"/>
      <c r="AC673" s="976"/>
      <c r="AD673" s="976"/>
    </row>
    <row r="674" spans="8:8">
      <c r="A674" s="976"/>
      <c r="B674" s="976"/>
      <c r="C674" s="976"/>
      <c r="D674" s="976"/>
      <c r="E674" s="977"/>
      <c r="F674" s="976"/>
      <c r="G674" s="976"/>
      <c r="H674" s="976"/>
      <c r="I674" s="976"/>
      <c r="J674" s="976"/>
      <c r="K674" s="976"/>
      <c r="L674" s="976"/>
      <c r="M674" s="976"/>
      <c r="N674" s="976"/>
      <c r="O674" s="976"/>
      <c r="P674" s="976"/>
      <c r="Q674" s="976"/>
      <c r="R674" s="976"/>
      <c r="S674" s="976"/>
      <c r="T674" s="976"/>
      <c r="U674" s="976"/>
      <c r="V674" s="976"/>
      <c r="W674" s="976"/>
      <c r="X674" s="976"/>
      <c r="Y674" s="976"/>
      <c r="Z674" s="976"/>
      <c r="AA674" s="976"/>
      <c r="AB674" s="976"/>
      <c r="AC674" s="976"/>
      <c r="AD674" s="976"/>
    </row>
    <row r="675" spans="8:8">
      <c r="A675" s="976"/>
      <c r="B675" s="976"/>
      <c r="C675" s="976"/>
      <c r="D675" s="976"/>
      <c r="E675" s="977"/>
      <c r="F675" s="976"/>
      <c r="G675" s="976"/>
      <c r="H675" s="976"/>
      <c r="I675" s="976"/>
      <c r="J675" s="976"/>
      <c r="K675" s="976"/>
      <c r="L675" s="976"/>
      <c r="M675" s="976"/>
      <c r="N675" s="976"/>
      <c r="O675" s="976"/>
      <c r="P675" s="976"/>
      <c r="Q675" s="976"/>
      <c r="R675" s="976"/>
      <c r="S675" s="976"/>
      <c r="T675" s="976"/>
      <c r="U675" s="976"/>
      <c r="V675" s="976"/>
      <c r="W675" s="976"/>
      <c r="X675" s="976"/>
      <c r="Y675" s="976"/>
      <c r="Z675" s="976"/>
      <c r="AA675" s="976"/>
      <c r="AB675" s="976"/>
      <c r="AC675" s="976"/>
      <c r="AD675" s="976"/>
    </row>
    <row r="676" spans="8:8">
      <c r="A676" s="976"/>
      <c r="B676" s="976"/>
      <c r="C676" s="976"/>
      <c r="D676" s="976"/>
      <c r="E676" s="977"/>
      <c r="F676" s="976"/>
      <c r="G676" s="976"/>
      <c r="H676" s="976"/>
      <c r="I676" s="976"/>
      <c r="J676" s="976"/>
      <c r="K676" s="976"/>
      <c r="L676" s="976"/>
      <c r="M676" s="976"/>
      <c r="N676" s="976"/>
      <c r="O676" s="976"/>
      <c r="P676" s="976"/>
      <c r="Q676" s="976"/>
      <c r="R676" s="976"/>
      <c r="S676" s="976"/>
      <c r="T676" s="976"/>
      <c r="U676" s="976"/>
      <c r="V676" s="976"/>
      <c r="W676" s="976"/>
      <c r="X676" s="976"/>
      <c r="Y676" s="976"/>
      <c r="Z676" s="976"/>
      <c r="AA676" s="976"/>
      <c r="AB676" s="976"/>
      <c r="AC676" s="976"/>
      <c r="AD676" s="976"/>
    </row>
    <row r="677" spans="8:8">
      <c r="A677" s="976"/>
      <c r="B677" s="976"/>
      <c r="C677" s="976"/>
      <c r="D677" s="976"/>
      <c r="E677" s="977"/>
      <c r="F677" s="976"/>
      <c r="G677" s="976"/>
      <c r="H677" s="976"/>
      <c r="I677" s="976"/>
      <c r="J677" s="976"/>
      <c r="K677" s="976"/>
      <c r="L677" s="976"/>
      <c r="M677" s="976"/>
      <c r="N677" s="976"/>
      <c r="O677" s="976"/>
      <c r="P677" s="976"/>
      <c r="Q677" s="976"/>
      <c r="R677" s="976"/>
      <c r="S677" s="976"/>
      <c r="T677" s="976"/>
      <c r="U677" s="976"/>
      <c r="V677" s="976"/>
      <c r="W677" s="976"/>
      <c r="X677" s="976"/>
      <c r="Y677" s="976"/>
      <c r="Z677" s="976"/>
      <c r="AA677" s="976"/>
      <c r="AB677" s="976"/>
      <c r="AC677" s="976"/>
      <c r="AD677" s="976"/>
    </row>
    <row r="678" spans="8:8">
      <c r="A678" s="976"/>
      <c r="B678" s="976"/>
      <c r="C678" s="976"/>
      <c r="D678" s="976"/>
      <c r="E678" s="977"/>
      <c r="F678" s="976"/>
      <c r="G678" s="976"/>
      <c r="H678" s="976"/>
      <c r="I678" s="976"/>
      <c r="J678" s="976"/>
      <c r="K678" s="976"/>
      <c r="L678" s="976"/>
      <c r="M678" s="976"/>
      <c r="N678" s="976"/>
      <c r="O678" s="976"/>
      <c r="P678" s="976"/>
      <c r="Q678" s="976"/>
      <c r="R678" s="976"/>
      <c r="S678" s="976"/>
      <c r="T678" s="976"/>
      <c r="U678" s="976"/>
      <c r="V678" s="976"/>
      <c r="W678" s="976"/>
      <c r="X678" s="976"/>
      <c r="Y678" s="976"/>
      <c r="Z678" s="976"/>
      <c r="AA678" s="976"/>
      <c r="AB678" s="976"/>
      <c r="AC678" s="976"/>
      <c r="AD678" s="976"/>
    </row>
    <row r="679" spans="8:8">
      <c r="A679" s="976"/>
      <c r="B679" s="976"/>
      <c r="C679" s="976"/>
      <c r="D679" s="976"/>
      <c r="E679" s="977"/>
      <c r="F679" s="976"/>
      <c r="G679" s="976"/>
      <c r="H679" s="976"/>
      <c r="I679" s="976"/>
      <c r="J679" s="976"/>
      <c r="K679" s="976"/>
      <c r="L679" s="976"/>
      <c r="M679" s="976"/>
      <c r="N679" s="976"/>
      <c r="O679" s="976"/>
      <c r="P679" s="976"/>
      <c r="Q679" s="976"/>
      <c r="R679" s="976"/>
      <c r="S679" s="976"/>
      <c r="T679" s="976"/>
      <c r="U679" s="976"/>
      <c r="V679" s="976"/>
      <c r="W679" s="976"/>
      <c r="X679" s="976"/>
      <c r="Y679" s="976"/>
      <c r="Z679" s="976"/>
      <c r="AA679" s="976"/>
      <c r="AB679" s="976"/>
      <c r="AC679" s="976"/>
      <c r="AD679" s="976"/>
    </row>
    <row r="680" spans="8:8">
      <c r="A680" s="976"/>
      <c r="B680" s="976"/>
      <c r="C680" s="976"/>
      <c r="D680" s="976"/>
      <c r="E680" s="977"/>
      <c r="F680" s="976"/>
      <c r="G680" s="976"/>
      <c r="H680" s="976"/>
      <c r="I680" s="976"/>
      <c r="J680" s="976"/>
      <c r="K680" s="976"/>
      <c r="L680" s="976"/>
      <c r="M680" s="976"/>
      <c r="N680" s="976"/>
      <c r="O680" s="976"/>
      <c r="P680" s="976"/>
      <c r="Q680" s="976"/>
      <c r="R680" s="976"/>
      <c r="S680" s="976"/>
      <c r="T680" s="976"/>
      <c r="U680" s="976"/>
      <c r="V680" s="976"/>
      <c r="W680" s="976"/>
      <c r="X680" s="976"/>
      <c r="Y680" s="976"/>
      <c r="Z680" s="976"/>
      <c r="AA680" s="976"/>
      <c r="AB680" s="976"/>
      <c r="AC680" s="976"/>
      <c r="AD680" s="976"/>
    </row>
    <row r="681" spans="8:8">
      <c r="A681" s="976"/>
      <c r="B681" s="976"/>
      <c r="C681" s="976"/>
      <c r="D681" s="976"/>
      <c r="E681" s="977"/>
      <c r="F681" s="976"/>
      <c r="G681" s="976"/>
      <c r="H681" s="976"/>
      <c r="I681" s="976"/>
      <c r="J681" s="976"/>
      <c r="K681" s="976"/>
      <c r="L681" s="976"/>
      <c r="M681" s="976"/>
      <c r="N681" s="976"/>
      <c r="O681" s="976"/>
      <c r="P681" s="976"/>
      <c r="Q681" s="976"/>
      <c r="R681" s="976"/>
      <c r="S681" s="976"/>
      <c r="T681" s="976"/>
      <c r="U681" s="976"/>
      <c r="V681" s="976"/>
      <c r="W681" s="976"/>
      <c r="X681" s="976"/>
      <c r="Y681" s="976"/>
      <c r="Z681" s="976"/>
      <c r="AA681" s="976"/>
      <c r="AB681" s="976"/>
      <c r="AC681" s="976"/>
      <c r="AD681" s="976"/>
    </row>
    <row r="682" spans="8:8">
      <c r="A682" s="976"/>
      <c r="B682" s="976"/>
      <c r="C682" s="976"/>
      <c r="D682" s="976"/>
      <c r="E682" s="977"/>
      <c r="F682" s="976"/>
      <c r="G682" s="976"/>
      <c r="H682" s="976"/>
      <c r="I682" s="976"/>
      <c r="J682" s="976"/>
      <c r="K682" s="976"/>
      <c r="L682" s="976"/>
      <c r="M682" s="976"/>
      <c r="N682" s="976"/>
      <c r="O682" s="976"/>
      <c r="P682" s="976"/>
      <c r="Q682" s="976"/>
      <c r="R682" s="976"/>
      <c r="S682" s="976"/>
      <c r="T682" s="976"/>
      <c r="U682" s="976"/>
      <c r="V682" s="976"/>
      <c r="W682" s="976"/>
      <c r="X682" s="976"/>
      <c r="Y682" s="976"/>
      <c r="Z682" s="976"/>
      <c r="AA682" s="976"/>
      <c r="AB682" s="976"/>
      <c r="AC682" s="976"/>
      <c r="AD682" s="976"/>
    </row>
    <row r="683" spans="8:8">
      <c r="A683" s="976"/>
      <c r="B683" s="976"/>
      <c r="C683" s="976"/>
      <c r="D683" s="976"/>
      <c r="E683" s="977"/>
      <c r="F683" s="976"/>
      <c r="G683" s="976"/>
      <c r="H683" s="976"/>
      <c r="I683" s="976"/>
      <c r="J683" s="976"/>
      <c r="K683" s="976"/>
      <c r="L683" s="976"/>
      <c r="M683" s="976"/>
      <c r="N683" s="976"/>
      <c r="O683" s="976"/>
      <c r="P683" s="976"/>
      <c r="Q683" s="976"/>
      <c r="R683" s="976"/>
      <c r="S683" s="976"/>
      <c r="T683" s="976"/>
      <c r="U683" s="976"/>
      <c r="V683" s="976"/>
      <c r="W683" s="976"/>
      <c r="X683" s="976"/>
      <c r="Y683" s="976"/>
      <c r="Z683" s="976"/>
      <c r="AA683" s="976"/>
      <c r="AB683" s="976"/>
      <c r="AC683" s="976"/>
      <c r="AD683" s="976"/>
    </row>
    <row r="684" spans="8:8">
      <c r="A684" s="976"/>
      <c r="B684" s="976"/>
      <c r="C684" s="976"/>
      <c r="D684" s="976"/>
      <c r="E684" s="977"/>
      <c r="F684" s="976"/>
      <c r="G684" s="976"/>
      <c r="H684" s="976"/>
      <c r="I684" s="976"/>
      <c r="J684" s="976"/>
      <c r="K684" s="976"/>
      <c r="L684" s="976"/>
      <c r="M684" s="976"/>
      <c r="N684" s="976"/>
      <c r="O684" s="976"/>
      <c r="P684" s="976"/>
      <c r="Q684" s="976"/>
      <c r="R684" s="976"/>
      <c r="S684" s="976"/>
      <c r="T684" s="976"/>
      <c r="U684" s="976"/>
      <c r="V684" s="976"/>
      <c r="W684" s="976"/>
      <c r="X684" s="976"/>
      <c r="Y684" s="976"/>
      <c r="Z684" s="976"/>
      <c r="AA684" s="976"/>
      <c r="AB684" s="976"/>
      <c r="AC684" s="976"/>
      <c r="AD684" s="976"/>
    </row>
    <row r="685" spans="8:8">
      <c r="A685" s="976"/>
      <c r="B685" s="976"/>
      <c r="C685" s="976"/>
      <c r="D685" s="976"/>
      <c r="E685" s="977"/>
      <c r="F685" s="976"/>
      <c r="G685" s="976"/>
      <c r="H685" s="976"/>
      <c r="I685" s="976"/>
      <c r="J685" s="976"/>
      <c r="K685" s="976"/>
      <c r="L685" s="976"/>
      <c r="M685" s="976"/>
      <c r="N685" s="976"/>
      <c r="O685" s="976"/>
      <c r="P685" s="976"/>
      <c r="Q685" s="976"/>
      <c r="R685" s="976"/>
      <c r="S685" s="976"/>
      <c r="T685" s="976"/>
      <c r="U685" s="976"/>
      <c r="V685" s="976"/>
      <c r="W685" s="976"/>
      <c r="X685" s="976"/>
      <c r="Y685" s="976"/>
      <c r="Z685" s="976"/>
      <c r="AA685" s="976"/>
      <c r="AB685" s="976"/>
      <c r="AC685" s="976"/>
      <c r="AD685" s="976"/>
    </row>
    <row r="686" spans="8:8">
      <c r="A686" s="976"/>
      <c r="B686" s="976"/>
      <c r="C686" s="976"/>
      <c r="D686" s="976"/>
      <c r="E686" s="977"/>
      <c r="F686" s="976"/>
      <c r="G686" s="976"/>
      <c r="H686" s="976"/>
      <c r="I686" s="976"/>
      <c r="J686" s="976"/>
      <c r="K686" s="976"/>
      <c r="L686" s="976"/>
      <c r="M686" s="976"/>
      <c r="N686" s="976"/>
      <c r="O686" s="976"/>
      <c r="P686" s="976"/>
      <c r="Q686" s="976"/>
      <c r="R686" s="976"/>
      <c r="S686" s="976"/>
      <c r="T686" s="976"/>
      <c r="U686" s="976"/>
      <c r="V686" s="976"/>
      <c r="W686" s="976"/>
      <c r="X686" s="976"/>
      <c r="Y686" s="976"/>
      <c r="Z686" s="976"/>
      <c r="AA686" s="976"/>
      <c r="AB686" s="976"/>
      <c r="AC686" s="976"/>
      <c r="AD686" s="976"/>
    </row>
    <row r="687" spans="8:8">
      <c r="A687" s="976"/>
      <c r="B687" s="976"/>
      <c r="C687" s="976"/>
      <c r="D687" s="976"/>
      <c r="E687" s="977"/>
      <c r="F687" s="976"/>
      <c r="G687" s="976"/>
      <c r="H687" s="976"/>
      <c r="I687" s="976"/>
      <c r="J687" s="976"/>
      <c r="K687" s="976"/>
      <c r="L687" s="976"/>
      <c r="M687" s="976"/>
      <c r="N687" s="976"/>
      <c r="O687" s="976"/>
      <c r="P687" s="976"/>
      <c r="Q687" s="976"/>
      <c r="R687" s="976"/>
      <c r="S687" s="976"/>
      <c r="T687" s="976"/>
      <c r="U687" s="976"/>
      <c r="V687" s="976"/>
      <c r="W687" s="976"/>
      <c r="X687" s="976"/>
      <c r="Y687" s="976"/>
      <c r="Z687" s="976"/>
      <c r="AA687" s="976"/>
      <c r="AB687" s="976"/>
      <c r="AC687" s="976"/>
      <c r="AD687" s="976"/>
    </row>
    <row r="688" spans="8:8">
      <c r="A688" s="976"/>
      <c r="B688" s="976"/>
      <c r="C688" s="976"/>
      <c r="D688" s="976"/>
      <c r="E688" s="977"/>
      <c r="F688" s="976"/>
      <c r="G688" s="976"/>
      <c r="H688" s="976"/>
      <c r="I688" s="976"/>
      <c r="J688" s="976"/>
      <c r="K688" s="976"/>
      <c r="L688" s="976"/>
      <c r="M688" s="976"/>
      <c r="N688" s="976"/>
      <c r="O688" s="976"/>
      <c r="P688" s="976"/>
      <c r="Q688" s="976"/>
      <c r="R688" s="976"/>
      <c r="S688" s="976"/>
      <c r="T688" s="976"/>
      <c r="U688" s="976"/>
      <c r="V688" s="976"/>
      <c r="W688" s="976"/>
      <c r="X688" s="976"/>
      <c r="Y688" s="976"/>
      <c r="Z688" s="976"/>
      <c r="AA688" s="976"/>
      <c r="AB688" s="976"/>
      <c r="AC688" s="976"/>
      <c r="AD688" s="976"/>
    </row>
    <row r="689" spans="8:8">
      <c r="A689" s="976"/>
      <c r="B689" s="976"/>
      <c r="C689" s="976"/>
      <c r="D689" s="976"/>
      <c r="E689" s="977"/>
      <c r="F689" s="976"/>
      <c r="G689" s="976"/>
      <c r="H689" s="976"/>
      <c r="I689" s="976"/>
      <c r="J689" s="976"/>
      <c r="K689" s="976"/>
      <c r="L689" s="976"/>
      <c r="M689" s="976"/>
      <c r="N689" s="976"/>
      <c r="O689" s="976"/>
      <c r="P689" s="976"/>
      <c r="Q689" s="976"/>
      <c r="R689" s="976"/>
      <c r="S689" s="976"/>
      <c r="T689" s="976"/>
      <c r="U689" s="976"/>
      <c r="V689" s="976"/>
      <c r="W689" s="976"/>
      <c r="X689" s="976"/>
      <c r="Y689" s="976"/>
      <c r="Z689" s="976"/>
      <c r="AA689" s="976"/>
      <c r="AB689" s="976"/>
      <c r="AC689" s="976"/>
      <c r="AD689" s="976"/>
    </row>
    <row r="690" spans="8:8">
      <c r="A690" s="976"/>
      <c r="B690" s="976"/>
      <c r="C690" s="976"/>
      <c r="D690" s="976"/>
      <c r="E690" s="977"/>
      <c r="F690" s="976"/>
      <c r="G690" s="976"/>
      <c r="H690" s="976"/>
      <c r="I690" s="976"/>
      <c r="J690" s="976"/>
      <c r="K690" s="976"/>
      <c r="L690" s="976"/>
      <c r="M690" s="976"/>
      <c r="N690" s="976"/>
      <c r="O690" s="976"/>
      <c r="P690" s="976"/>
      <c r="Q690" s="976"/>
      <c r="R690" s="976"/>
      <c r="S690" s="976"/>
      <c r="T690" s="976"/>
      <c r="U690" s="976"/>
      <c r="V690" s="976"/>
      <c r="W690" s="976"/>
      <c r="X690" s="976"/>
      <c r="Y690" s="976"/>
      <c r="Z690" s="976"/>
      <c r="AA690" s="976"/>
      <c r="AB690" s="976"/>
      <c r="AC690" s="976"/>
      <c r="AD690" s="976"/>
    </row>
    <row r="691" spans="8:8">
      <c r="A691" s="976"/>
      <c r="B691" s="976"/>
      <c r="C691" s="976"/>
      <c r="D691" s="976"/>
      <c r="E691" s="977"/>
      <c r="F691" s="976"/>
      <c r="G691" s="976"/>
      <c r="H691" s="976"/>
      <c r="I691" s="976"/>
      <c r="J691" s="976"/>
      <c r="K691" s="976"/>
      <c r="L691" s="976"/>
      <c r="M691" s="976"/>
      <c r="N691" s="976"/>
      <c r="O691" s="976"/>
      <c r="P691" s="976"/>
      <c r="Q691" s="976"/>
      <c r="R691" s="976"/>
      <c r="S691" s="976"/>
      <c r="T691" s="976"/>
      <c r="U691" s="976"/>
      <c r="V691" s="976"/>
      <c r="W691" s="976"/>
      <c r="X691" s="976"/>
      <c r="Y691" s="976"/>
      <c r="Z691" s="976"/>
      <c r="AA691" s="976"/>
      <c r="AB691" s="976"/>
      <c r="AC691" s="976"/>
      <c r="AD691" s="976"/>
    </row>
    <row r="692" spans="8:8">
      <c r="A692" s="976"/>
      <c r="B692" s="976"/>
      <c r="C692" s="976"/>
      <c r="D692" s="976"/>
      <c r="E692" s="977"/>
      <c r="F692" s="976"/>
      <c r="G692" s="976"/>
      <c r="H692" s="976"/>
      <c r="I692" s="976"/>
      <c r="J692" s="976"/>
      <c r="K692" s="976"/>
      <c r="L692" s="976"/>
      <c r="M692" s="976"/>
      <c r="N692" s="976"/>
      <c r="O692" s="976"/>
      <c r="P692" s="976"/>
      <c r="Q692" s="976"/>
      <c r="R692" s="976"/>
      <c r="S692" s="976"/>
      <c r="T692" s="976"/>
      <c r="U692" s="976"/>
      <c r="V692" s="976"/>
      <c r="W692" s="976"/>
      <c r="X692" s="976"/>
      <c r="Y692" s="976"/>
      <c r="Z692" s="976"/>
      <c r="AA692" s="976"/>
      <c r="AB692" s="976"/>
      <c r="AC692" s="976"/>
      <c r="AD692" s="976"/>
    </row>
    <row r="693" spans="8:8">
      <c r="A693" s="976"/>
      <c r="B693" s="976"/>
      <c r="C693" s="976"/>
      <c r="D693" s="976"/>
      <c r="E693" s="977"/>
      <c r="F693" s="976"/>
      <c r="G693" s="976"/>
      <c r="H693" s="976"/>
      <c r="I693" s="976"/>
      <c r="J693" s="976"/>
      <c r="K693" s="976"/>
      <c r="L693" s="976"/>
      <c r="M693" s="976"/>
      <c r="N693" s="976"/>
      <c r="O693" s="976"/>
      <c r="P693" s="976"/>
      <c r="Q693" s="976"/>
      <c r="R693" s="976"/>
      <c r="S693" s="976"/>
      <c r="T693" s="976"/>
      <c r="U693" s="976"/>
      <c r="V693" s="976"/>
      <c r="W693" s="976"/>
      <c r="X693" s="976"/>
      <c r="Y693" s="976"/>
      <c r="Z693" s="976"/>
      <c r="AA693" s="976"/>
      <c r="AB693" s="976"/>
      <c r="AC693" s="976"/>
      <c r="AD693" s="976"/>
    </row>
    <row r="694" spans="8:8">
      <c r="A694" s="976"/>
      <c r="B694" s="976"/>
      <c r="C694" s="976"/>
      <c r="D694" s="976"/>
      <c r="E694" s="977"/>
      <c r="F694" s="976"/>
      <c r="G694" s="976"/>
      <c r="H694" s="976"/>
      <c r="I694" s="976"/>
      <c r="J694" s="976"/>
      <c r="K694" s="976"/>
      <c r="L694" s="976"/>
      <c r="M694" s="976"/>
      <c r="N694" s="976"/>
      <c r="O694" s="976"/>
      <c r="P694" s="976"/>
      <c r="Q694" s="976"/>
      <c r="R694" s="976"/>
      <c r="S694" s="976"/>
      <c r="T694" s="976"/>
      <c r="U694" s="976"/>
      <c r="V694" s="976"/>
      <c r="W694" s="976"/>
      <c r="X694" s="976"/>
      <c r="Y694" s="976"/>
      <c r="Z694" s="976"/>
      <c r="AA694" s="976"/>
      <c r="AB694" s="976"/>
      <c r="AC694" s="976"/>
      <c r="AD694" s="976"/>
    </row>
    <row r="695" spans="8:8">
      <c r="A695" s="976"/>
      <c r="B695" s="976"/>
      <c r="C695" s="976"/>
      <c r="D695" s="976"/>
      <c r="E695" s="977"/>
      <c r="F695" s="976"/>
      <c r="G695" s="976"/>
      <c r="H695" s="976"/>
      <c r="I695" s="976"/>
      <c r="J695" s="976"/>
      <c r="K695" s="976"/>
      <c r="L695" s="976"/>
      <c r="M695" s="976"/>
      <c r="N695" s="976"/>
      <c r="O695" s="976"/>
      <c r="P695" s="976"/>
      <c r="Q695" s="976"/>
      <c r="R695" s="976"/>
      <c r="S695" s="976"/>
      <c r="T695" s="976"/>
      <c r="U695" s="976"/>
      <c r="V695" s="976"/>
      <c r="W695" s="976"/>
      <c r="X695" s="976"/>
      <c r="Y695" s="976"/>
      <c r="Z695" s="976"/>
      <c r="AA695" s="976"/>
      <c r="AB695" s="976"/>
      <c r="AC695" s="976"/>
      <c r="AD695" s="976"/>
    </row>
    <row r="696" spans="8:8">
      <c r="A696" s="976"/>
      <c r="B696" s="976"/>
      <c r="C696" s="976"/>
      <c r="D696" s="976"/>
      <c r="E696" s="977"/>
      <c r="F696" s="976"/>
      <c r="G696" s="976"/>
      <c r="H696" s="976"/>
      <c r="I696" s="976"/>
      <c r="J696" s="976"/>
      <c r="K696" s="976"/>
      <c r="L696" s="976"/>
      <c r="M696" s="976"/>
      <c r="N696" s="976"/>
      <c r="O696" s="976"/>
      <c r="P696" s="976"/>
      <c r="Q696" s="976"/>
      <c r="R696" s="976"/>
      <c r="S696" s="976"/>
      <c r="T696" s="976"/>
      <c r="U696" s="976"/>
      <c r="V696" s="976"/>
      <c r="W696" s="976"/>
      <c r="X696" s="976"/>
      <c r="Y696" s="976"/>
      <c r="Z696" s="976"/>
      <c r="AA696" s="976"/>
      <c r="AB696" s="976"/>
      <c r="AC696" s="976"/>
      <c r="AD696" s="976"/>
    </row>
    <row r="697" spans="8:8">
      <c r="A697" s="976"/>
      <c r="B697" s="976"/>
      <c r="C697" s="976"/>
      <c r="D697" s="976"/>
      <c r="E697" s="977"/>
      <c r="F697" s="976"/>
      <c r="G697" s="976"/>
      <c r="H697" s="976"/>
      <c r="I697" s="976"/>
      <c r="J697" s="976"/>
      <c r="K697" s="976"/>
      <c r="L697" s="976"/>
      <c r="M697" s="976"/>
      <c r="N697" s="976"/>
      <c r="O697" s="976"/>
      <c r="P697" s="976"/>
      <c r="Q697" s="976"/>
      <c r="R697" s="976"/>
      <c r="S697" s="976"/>
      <c r="T697" s="976"/>
      <c r="U697" s="976"/>
      <c r="V697" s="976"/>
      <c r="W697" s="976"/>
      <c r="X697" s="976"/>
      <c r="Y697" s="976"/>
      <c r="Z697" s="976"/>
      <c r="AA697" s="976"/>
      <c r="AB697" s="976"/>
      <c r="AC697" s="976"/>
      <c r="AD697" s="976"/>
    </row>
    <row r="698" spans="8:8">
      <c r="A698" s="976"/>
      <c r="B698" s="976"/>
      <c r="C698" s="976"/>
      <c r="D698" s="976"/>
      <c r="E698" s="977"/>
      <c r="F698" s="976"/>
      <c r="G698" s="976"/>
      <c r="H698" s="976"/>
      <c r="I698" s="976"/>
      <c r="J698" s="976"/>
      <c r="K698" s="976"/>
      <c r="L698" s="976"/>
      <c r="M698" s="976"/>
      <c r="N698" s="976"/>
      <c r="O698" s="976"/>
      <c r="P698" s="976"/>
      <c r="Q698" s="976"/>
      <c r="R698" s="976"/>
      <c r="S698" s="976"/>
      <c r="T698" s="976"/>
      <c r="U698" s="976"/>
      <c r="V698" s="976"/>
      <c r="W698" s="976"/>
      <c r="X698" s="976"/>
      <c r="Y698" s="976"/>
      <c r="Z698" s="976"/>
      <c r="AA698" s="976"/>
      <c r="AB698" s="976"/>
      <c r="AC698" s="976"/>
      <c r="AD698" s="976"/>
    </row>
    <row r="699" spans="8:8">
      <c r="A699" s="976"/>
      <c r="B699" s="976"/>
      <c r="C699" s="976"/>
      <c r="D699" s="976"/>
      <c r="E699" s="977"/>
      <c r="F699" s="976"/>
      <c r="G699" s="976"/>
      <c r="H699" s="976"/>
      <c r="I699" s="976"/>
      <c r="J699" s="976"/>
      <c r="K699" s="976"/>
      <c r="L699" s="976"/>
      <c r="M699" s="976"/>
      <c r="N699" s="976"/>
      <c r="O699" s="976"/>
      <c r="P699" s="976"/>
      <c r="Q699" s="976"/>
      <c r="R699" s="976"/>
      <c r="S699" s="976"/>
      <c r="T699" s="976"/>
      <c r="U699" s="976"/>
      <c r="V699" s="976"/>
      <c r="W699" s="976"/>
      <c r="X699" s="976"/>
      <c r="Y699" s="976"/>
      <c r="Z699" s="976"/>
      <c r="AA699" s="976"/>
      <c r="AB699" s="976"/>
      <c r="AC699" s="976"/>
      <c r="AD699" s="976"/>
    </row>
    <row r="700" spans="8:8">
      <c r="A700" s="976"/>
      <c r="B700" s="976"/>
      <c r="C700" s="976"/>
      <c r="D700" s="976"/>
      <c r="E700" s="977"/>
      <c r="F700" s="976"/>
      <c r="G700" s="976"/>
      <c r="H700" s="976"/>
      <c r="I700" s="976"/>
      <c r="J700" s="976"/>
      <c r="K700" s="976"/>
      <c r="L700" s="976"/>
      <c r="M700" s="976"/>
      <c r="N700" s="976"/>
      <c r="O700" s="976"/>
      <c r="P700" s="976"/>
      <c r="Q700" s="976"/>
      <c r="R700" s="976"/>
      <c r="S700" s="976"/>
      <c r="T700" s="976"/>
      <c r="U700" s="976"/>
      <c r="V700" s="976"/>
      <c r="W700" s="976"/>
      <c r="X700" s="976"/>
      <c r="Y700" s="976"/>
      <c r="Z700" s="976"/>
      <c r="AA700" s="976"/>
      <c r="AB700" s="976"/>
      <c r="AC700" s="976"/>
      <c r="AD700" s="976"/>
    </row>
    <row r="701" spans="8:8">
      <c r="A701" s="976"/>
      <c r="B701" s="976"/>
      <c r="C701" s="976"/>
      <c r="D701" s="976"/>
      <c r="E701" s="977"/>
      <c r="F701" s="976"/>
      <c r="G701" s="976"/>
      <c r="H701" s="976"/>
      <c r="I701" s="976"/>
      <c r="J701" s="976"/>
      <c r="K701" s="976"/>
      <c r="L701" s="976"/>
      <c r="M701" s="976"/>
      <c r="N701" s="976"/>
      <c r="O701" s="976"/>
      <c r="P701" s="976"/>
      <c r="Q701" s="976"/>
      <c r="R701" s="976"/>
      <c r="S701" s="976"/>
      <c r="T701" s="976"/>
      <c r="U701" s="976"/>
      <c r="V701" s="976"/>
      <c r="W701" s="976"/>
      <c r="X701" s="976"/>
      <c r="Y701" s="976"/>
      <c r="Z701" s="976"/>
      <c r="AA701" s="976"/>
      <c r="AB701" s="976"/>
      <c r="AC701" s="976"/>
      <c r="AD701" s="976"/>
    </row>
    <row r="702" spans="8:8">
      <c r="A702" s="976"/>
      <c r="B702" s="976"/>
      <c r="C702" s="976"/>
      <c r="D702" s="976"/>
      <c r="E702" s="977"/>
      <c r="F702" s="976"/>
      <c r="G702" s="976"/>
      <c r="H702" s="976"/>
      <c r="I702" s="976"/>
      <c r="J702" s="976"/>
      <c r="K702" s="976"/>
      <c r="L702" s="976"/>
      <c r="M702" s="976"/>
      <c r="N702" s="976"/>
      <c r="O702" s="976"/>
      <c r="P702" s="976"/>
      <c r="Q702" s="976"/>
      <c r="R702" s="976"/>
      <c r="S702" s="976"/>
      <c r="T702" s="976"/>
      <c r="U702" s="976"/>
      <c r="V702" s="976"/>
      <c r="W702" s="976"/>
      <c r="X702" s="976"/>
      <c r="Y702" s="976"/>
      <c r="Z702" s="976"/>
      <c r="AA702" s="976"/>
      <c r="AB702" s="976"/>
      <c r="AC702" s="976"/>
      <c r="AD702" s="976"/>
    </row>
    <row r="703" spans="8:8">
      <c r="A703" s="976"/>
      <c r="B703" s="976"/>
      <c r="C703" s="976"/>
      <c r="D703" s="976"/>
      <c r="E703" s="977"/>
      <c r="F703" s="976"/>
      <c r="G703" s="976"/>
      <c r="H703" s="976"/>
      <c r="I703" s="976"/>
      <c r="J703" s="976"/>
      <c r="K703" s="976"/>
      <c r="L703" s="976"/>
      <c r="M703" s="976"/>
      <c r="N703" s="976"/>
      <c r="O703" s="976"/>
      <c r="P703" s="976"/>
      <c r="Q703" s="976"/>
      <c r="R703" s="976"/>
      <c r="S703" s="976"/>
      <c r="T703" s="976"/>
      <c r="U703" s="976"/>
      <c r="V703" s="976"/>
      <c r="W703" s="976"/>
      <c r="X703" s="976"/>
      <c r="Y703" s="976"/>
      <c r="Z703" s="976"/>
      <c r="AA703" s="976"/>
      <c r="AB703" s="976"/>
      <c r="AC703" s="976"/>
      <c r="AD703" s="976"/>
    </row>
    <row r="704" spans="8:8">
      <c r="A704" s="976"/>
      <c r="B704" s="976"/>
      <c r="C704" s="976"/>
      <c r="D704" s="976"/>
      <c r="E704" s="977"/>
      <c r="F704" s="976"/>
      <c r="G704" s="976"/>
      <c r="H704" s="976"/>
      <c r="I704" s="976"/>
      <c r="J704" s="976"/>
      <c r="K704" s="976"/>
      <c r="L704" s="976"/>
      <c r="M704" s="976"/>
      <c r="N704" s="976"/>
      <c r="O704" s="976"/>
      <c r="P704" s="976"/>
      <c r="Q704" s="976"/>
      <c r="R704" s="976"/>
      <c r="S704" s="976"/>
      <c r="T704" s="976"/>
      <c r="U704" s="976"/>
      <c r="V704" s="976"/>
      <c r="W704" s="976"/>
      <c r="X704" s="976"/>
      <c r="Y704" s="976"/>
      <c r="Z704" s="976"/>
      <c r="AA704" s="976"/>
      <c r="AB704" s="976"/>
      <c r="AC704" s="976"/>
      <c r="AD704" s="976"/>
    </row>
    <row r="705" spans="8:8">
      <c r="A705" s="976"/>
      <c r="B705" s="976"/>
      <c r="C705" s="976"/>
      <c r="D705" s="976"/>
      <c r="E705" s="977"/>
      <c r="F705" s="976"/>
      <c r="G705" s="976"/>
      <c r="H705" s="976"/>
      <c r="I705" s="976"/>
      <c r="J705" s="976"/>
      <c r="K705" s="976"/>
      <c r="L705" s="976"/>
      <c r="M705" s="976"/>
      <c r="N705" s="976"/>
      <c r="O705" s="976"/>
      <c r="P705" s="976"/>
      <c r="Q705" s="976"/>
      <c r="R705" s="976"/>
      <c r="S705" s="976"/>
      <c r="T705" s="976"/>
      <c r="U705" s="976"/>
      <c r="V705" s="976"/>
      <c r="W705" s="976"/>
      <c r="X705" s="976"/>
      <c r="Y705" s="976"/>
      <c r="Z705" s="976"/>
      <c r="AA705" s="976"/>
      <c r="AB705" s="976"/>
      <c r="AC705" s="976"/>
      <c r="AD705" s="976"/>
    </row>
    <row r="706" spans="8:8">
      <c r="A706" s="976"/>
      <c r="B706" s="976"/>
      <c r="C706" s="976"/>
      <c r="D706" s="976"/>
      <c r="E706" s="977"/>
      <c r="F706" s="976"/>
      <c r="G706" s="976"/>
      <c r="H706" s="976"/>
      <c r="I706" s="976"/>
      <c r="J706" s="976"/>
      <c r="K706" s="976"/>
      <c r="L706" s="976"/>
      <c r="M706" s="976"/>
      <c r="N706" s="976"/>
      <c r="O706" s="976"/>
      <c r="P706" s="976"/>
      <c r="Q706" s="976"/>
      <c r="R706" s="976"/>
      <c r="S706" s="976"/>
      <c r="T706" s="976"/>
      <c r="U706" s="976"/>
      <c r="V706" s="976"/>
      <c r="W706" s="976"/>
      <c r="X706" s="976"/>
      <c r="Y706" s="976"/>
      <c r="Z706" s="976"/>
      <c r="AA706" s="976"/>
      <c r="AB706" s="976"/>
      <c r="AC706" s="976"/>
      <c r="AD706" s="976"/>
    </row>
    <row r="707" spans="8:8">
      <c r="A707" s="976"/>
      <c r="B707" s="976"/>
      <c r="C707" s="976"/>
      <c r="D707" s="976"/>
      <c r="E707" s="977"/>
      <c r="F707" s="976"/>
      <c r="G707" s="976"/>
      <c r="H707" s="976"/>
      <c r="I707" s="976"/>
      <c r="J707" s="976"/>
      <c r="K707" s="976"/>
      <c r="L707" s="976"/>
      <c r="M707" s="976"/>
      <c r="N707" s="976"/>
      <c r="O707" s="976"/>
      <c r="P707" s="976"/>
      <c r="Q707" s="976"/>
      <c r="R707" s="976"/>
      <c r="S707" s="976"/>
      <c r="T707" s="976"/>
      <c r="U707" s="976"/>
      <c r="V707" s="976"/>
      <c r="W707" s="976"/>
      <c r="X707" s="976"/>
      <c r="Y707" s="976"/>
      <c r="Z707" s="976"/>
      <c r="AA707" s="976"/>
      <c r="AB707" s="976"/>
      <c r="AC707" s="976"/>
      <c r="AD707" s="976"/>
    </row>
    <row r="708" spans="8:8">
      <c r="A708" s="976"/>
      <c r="B708" s="976"/>
      <c r="C708" s="976"/>
      <c r="D708" s="976"/>
      <c r="E708" s="977"/>
      <c r="F708" s="976"/>
      <c r="G708" s="976"/>
      <c r="H708" s="976"/>
      <c r="I708" s="976"/>
      <c r="J708" s="976"/>
      <c r="K708" s="976"/>
      <c r="L708" s="976"/>
      <c r="M708" s="976"/>
      <c r="N708" s="976"/>
      <c r="O708" s="976"/>
      <c r="P708" s="976"/>
      <c r="Q708" s="976"/>
      <c r="R708" s="976"/>
      <c r="S708" s="976"/>
      <c r="T708" s="976"/>
      <c r="U708" s="976"/>
      <c r="V708" s="976"/>
      <c r="W708" s="976"/>
      <c r="X708" s="976"/>
      <c r="Y708" s="976"/>
      <c r="Z708" s="976"/>
      <c r="AA708" s="976"/>
      <c r="AB708" s="976"/>
      <c r="AC708" s="976"/>
      <c r="AD708" s="976"/>
    </row>
    <row r="709" spans="8:8">
      <c r="A709" s="976"/>
      <c r="B709" s="976"/>
      <c r="C709" s="976"/>
      <c r="D709" s="976"/>
      <c r="E709" s="977"/>
      <c r="F709" s="976"/>
      <c r="G709" s="976"/>
      <c r="H709" s="976"/>
      <c r="I709" s="976"/>
      <c r="J709" s="976"/>
      <c r="K709" s="976"/>
      <c r="L709" s="976"/>
      <c r="M709" s="976"/>
      <c r="N709" s="976"/>
      <c r="O709" s="976"/>
      <c r="P709" s="976"/>
      <c r="Q709" s="976"/>
      <c r="R709" s="976"/>
      <c r="S709" s="976"/>
      <c r="T709" s="976"/>
      <c r="U709" s="976"/>
      <c r="V709" s="976"/>
      <c r="W709" s="976"/>
      <c r="X709" s="976"/>
      <c r="Y709" s="976"/>
      <c r="Z709" s="976"/>
      <c r="AA709" s="976"/>
      <c r="AB709" s="976"/>
      <c r="AC709" s="976"/>
      <c r="AD709" s="976"/>
    </row>
    <row r="710" spans="8:8">
      <c r="A710" s="976"/>
      <c r="B710" s="976"/>
      <c r="C710" s="976"/>
      <c r="D710" s="976"/>
      <c r="E710" s="977"/>
      <c r="F710" s="976"/>
      <c r="G710" s="976"/>
      <c r="H710" s="976"/>
      <c r="I710" s="976"/>
      <c r="J710" s="976"/>
      <c r="K710" s="976"/>
      <c r="L710" s="976"/>
      <c r="M710" s="976"/>
      <c r="N710" s="976"/>
      <c r="O710" s="976"/>
      <c r="P710" s="976"/>
      <c r="Q710" s="976"/>
      <c r="R710" s="976"/>
      <c r="S710" s="976"/>
      <c r="T710" s="976"/>
      <c r="U710" s="976"/>
      <c r="V710" s="976"/>
      <c r="W710" s="976"/>
      <c r="X710" s="976"/>
      <c r="Y710" s="976"/>
      <c r="Z710" s="976"/>
      <c r="AA710" s="976"/>
      <c r="AB710" s="976"/>
      <c r="AC710" s="976"/>
      <c r="AD710" s="976"/>
    </row>
    <row r="711" spans="8:8">
      <c r="A711" s="976"/>
      <c r="B711" s="976"/>
      <c r="C711" s="976"/>
      <c r="D711" s="976"/>
      <c r="E711" s="977"/>
      <c r="F711" s="976"/>
      <c r="G711" s="976"/>
      <c r="H711" s="976"/>
      <c r="I711" s="976"/>
      <c r="J711" s="976"/>
      <c r="K711" s="976"/>
      <c r="L711" s="976"/>
      <c r="M711" s="976"/>
      <c r="N711" s="976"/>
      <c r="O711" s="976"/>
      <c r="P711" s="976"/>
      <c r="Q711" s="976"/>
      <c r="R711" s="976"/>
      <c r="S711" s="976"/>
      <c r="T711" s="976"/>
      <c r="U711" s="976"/>
      <c r="V711" s="976"/>
      <c r="W711" s="976"/>
      <c r="X711" s="976"/>
      <c r="Y711" s="976"/>
      <c r="Z711" s="976"/>
      <c r="AA711" s="976"/>
      <c r="AB711" s="976"/>
      <c r="AC711" s="976"/>
      <c r="AD711" s="976"/>
    </row>
    <row r="712" spans="8:8">
      <c r="A712" s="976"/>
      <c r="B712" s="976"/>
      <c r="C712" s="976"/>
      <c r="D712" s="976"/>
      <c r="E712" s="977"/>
      <c r="F712" s="976"/>
      <c r="G712" s="976"/>
      <c r="H712" s="976"/>
      <c r="I712" s="976"/>
      <c r="J712" s="976"/>
      <c r="K712" s="976"/>
      <c r="L712" s="976"/>
      <c r="M712" s="976"/>
      <c r="N712" s="976"/>
      <c r="O712" s="976"/>
      <c r="P712" s="976"/>
      <c r="Q712" s="976"/>
      <c r="R712" s="976"/>
      <c r="S712" s="976"/>
      <c r="T712" s="976"/>
      <c r="U712" s="976"/>
      <c r="V712" s="976"/>
      <c r="W712" s="976"/>
      <c r="X712" s="976"/>
      <c r="Y712" s="976"/>
      <c r="Z712" s="976"/>
      <c r="AA712" s="976"/>
      <c r="AB712" s="976"/>
      <c r="AC712" s="976"/>
      <c r="AD712" s="976"/>
    </row>
    <row r="713" spans="8:8">
      <c r="A713" s="976"/>
      <c r="B713" s="976"/>
      <c r="C713" s="976"/>
      <c r="D713" s="976"/>
      <c r="E713" s="977"/>
      <c r="F713" s="976"/>
      <c r="G713" s="976"/>
      <c r="H713" s="976"/>
      <c r="I713" s="976"/>
      <c r="J713" s="976"/>
      <c r="K713" s="976"/>
      <c r="L713" s="976"/>
      <c r="M713" s="976"/>
      <c r="N713" s="976"/>
      <c r="O713" s="976"/>
      <c r="P713" s="976"/>
      <c r="Q713" s="976"/>
      <c r="R713" s="976"/>
      <c r="S713" s="976"/>
      <c r="T713" s="976"/>
      <c r="U713" s="976"/>
      <c r="V713" s="976"/>
      <c r="W713" s="976"/>
      <c r="X713" s="976"/>
      <c r="Y713" s="976"/>
      <c r="Z713" s="976"/>
      <c r="AA713" s="976"/>
      <c r="AB713" s="976"/>
      <c r="AC713" s="976"/>
      <c r="AD713" s="976"/>
    </row>
    <row r="714" spans="8:8">
      <c r="A714" s="976"/>
      <c r="B714" s="976"/>
      <c r="C714" s="976"/>
      <c r="D714" s="976"/>
      <c r="E714" s="977"/>
      <c r="F714" s="976"/>
      <c r="G714" s="976"/>
      <c r="H714" s="976"/>
      <c r="I714" s="976"/>
      <c r="J714" s="976"/>
      <c r="K714" s="976"/>
      <c r="L714" s="976"/>
      <c r="M714" s="976"/>
      <c r="N714" s="976"/>
      <c r="O714" s="976"/>
      <c r="P714" s="976"/>
      <c r="Q714" s="976"/>
      <c r="R714" s="976"/>
      <c r="S714" s="976"/>
      <c r="T714" s="976"/>
      <c r="U714" s="976"/>
      <c r="V714" s="976"/>
      <c r="W714" s="976"/>
      <c r="X714" s="976"/>
      <c r="Y714" s="976"/>
      <c r="Z714" s="976"/>
      <c r="AA714" s="976"/>
      <c r="AB714" s="976"/>
      <c r="AC714" s="976"/>
      <c r="AD714" s="976"/>
    </row>
    <row r="715" spans="8:8">
      <c r="A715" s="976"/>
      <c r="B715" s="976"/>
      <c r="C715" s="976"/>
      <c r="D715" s="976"/>
      <c r="E715" s="977"/>
      <c r="F715" s="976"/>
      <c r="G715" s="976"/>
      <c r="H715" s="976"/>
      <c r="I715" s="976"/>
      <c r="J715" s="976"/>
      <c r="K715" s="976"/>
      <c r="L715" s="976"/>
      <c r="M715" s="976"/>
      <c r="N715" s="976"/>
      <c r="O715" s="976"/>
      <c r="P715" s="976"/>
      <c r="Q715" s="976"/>
      <c r="R715" s="976"/>
      <c r="S715" s="976"/>
      <c r="T715" s="976"/>
      <c r="U715" s="976"/>
      <c r="V715" s="976"/>
      <c r="W715" s="976"/>
      <c r="X715" s="976"/>
      <c r="Y715" s="976"/>
      <c r="Z715" s="976"/>
      <c r="AA715" s="976"/>
      <c r="AB715" s="976"/>
      <c r="AC715" s="976"/>
      <c r="AD715" s="976"/>
    </row>
    <row r="716" spans="8:8">
      <c r="A716" s="976"/>
      <c r="B716" s="976"/>
      <c r="C716" s="976"/>
      <c r="D716" s="976"/>
      <c r="E716" s="977"/>
      <c r="F716" s="976"/>
      <c r="G716" s="976"/>
      <c r="H716" s="976"/>
      <c r="I716" s="976"/>
      <c r="J716" s="976"/>
      <c r="K716" s="976"/>
      <c r="L716" s="976"/>
      <c r="M716" s="976"/>
      <c r="N716" s="976"/>
      <c r="O716" s="976"/>
      <c r="P716" s="976"/>
      <c r="Q716" s="976"/>
      <c r="R716" s="976"/>
      <c r="S716" s="976"/>
      <c r="T716" s="976"/>
      <c r="U716" s="976"/>
      <c r="V716" s="976"/>
      <c r="W716" s="976"/>
      <c r="X716" s="976"/>
      <c r="Y716" s="976"/>
      <c r="Z716" s="976"/>
      <c r="AA716" s="976"/>
      <c r="AB716" s="976"/>
      <c r="AC716" s="976"/>
      <c r="AD716" s="976"/>
    </row>
    <row r="717" spans="8:8">
      <c r="A717" s="976"/>
      <c r="B717" s="976"/>
      <c r="C717" s="976"/>
      <c r="D717" s="976"/>
      <c r="E717" s="977"/>
      <c r="F717" s="976"/>
      <c r="G717" s="976"/>
      <c r="H717" s="976"/>
      <c r="I717" s="976"/>
      <c r="J717" s="976"/>
      <c r="K717" s="976"/>
      <c r="L717" s="976"/>
      <c r="M717" s="976"/>
      <c r="N717" s="976"/>
      <c r="O717" s="976"/>
      <c r="P717" s="976"/>
      <c r="Q717" s="976"/>
      <c r="R717" s="976"/>
      <c r="S717" s="976"/>
      <c r="T717" s="976"/>
      <c r="U717" s="976"/>
      <c r="V717" s="976"/>
      <c r="W717" s="976"/>
      <c r="X717" s="976"/>
      <c r="Y717" s="976"/>
      <c r="Z717" s="976"/>
      <c r="AA717" s="976"/>
      <c r="AB717" s="976"/>
      <c r="AC717" s="976"/>
      <c r="AD717" s="976"/>
    </row>
    <row r="718" spans="8:8">
      <c r="A718" s="976"/>
      <c r="B718" s="976"/>
      <c r="C718" s="976"/>
      <c r="D718" s="976"/>
      <c r="E718" s="977"/>
      <c r="F718" s="976"/>
      <c r="G718" s="976"/>
      <c r="H718" s="976"/>
      <c r="I718" s="976"/>
      <c r="J718" s="976"/>
      <c r="K718" s="976"/>
      <c r="L718" s="976"/>
      <c r="M718" s="976"/>
      <c r="N718" s="976"/>
      <c r="O718" s="976"/>
      <c r="P718" s="976"/>
      <c r="Q718" s="976"/>
      <c r="R718" s="976"/>
      <c r="S718" s="976"/>
      <c r="T718" s="976"/>
      <c r="U718" s="976"/>
      <c r="V718" s="976"/>
      <c r="W718" s="976"/>
      <c r="X718" s="976"/>
      <c r="Y718" s="976"/>
      <c r="Z718" s="976"/>
      <c r="AA718" s="976"/>
      <c r="AB718" s="976"/>
      <c r="AC718" s="976"/>
      <c r="AD718" s="976"/>
    </row>
    <row r="719" spans="8:8">
      <c r="A719" s="976"/>
      <c r="B719" s="976"/>
      <c r="C719" s="976"/>
      <c r="D719" s="976"/>
      <c r="E719" s="977"/>
      <c r="F719" s="976"/>
      <c r="G719" s="976"/>
      <c r="H719" s="976"/>
      <c r="I719" s="976"/>
      <c r="J719" s="976"/>
      <c r="K719" s="976"/>
      <c r="L719" s="976"/>
      <c r="M719" s="976"/>
      <c r="N719" s="976"/>
      <c r="O719" s="976"/>
      <c r="P719" s="976"/>
      <c r="Q719" s="976"/>
      <c r="R719" s="976"/>
      <c r="S719" s="976"/>
      <c r="T719" s="976"/>
      <c r="U719" s="976"/>
      <c r="V719" s="976"/>
      <c r="W719" s="976"/>
      <c r="X719" s="976"/>
      <c r="Y719" s="976"/>
      <c r="Z719" s="976"/>
      <c r="AA719" s="976"/>
      <c r="AB719" s="976"/>
      <c r="AC719" s="976"/>
      <c r="AD719" s="976"/>
    </row>
    <row r="720" spans="8:8">
      <c r="A720" s="976"/>
      <c r="B720" s="976"/>
      <c r="C720" s="976"/>
      <c r="D720" s="976"/>
      <c r="E720" s="977"/>
      <c r="F720" s="976"/>
      <c r="G720" s="976"/>
      <c r="H720" s="976"/>
      <c r="I720" s="976"/>
      <c r="J720" s="976"/>
      <c r="K720" s="976"/>
      <c r="L720" s="976"/>
      <c r="M720" s="976"/>
      <c r="N720" s="976"/>
      <c r="O720" s="976"/>
      <c r="P720" s="976"/>
      <c r="Q720" s="976"/>
      <c r="R720" s="976"/>
      <c r="S720" s="976"/>
      <c r="T720" s="976"/>
      <c r="U720" s="976"/>
      <c r="V720" s="976"/>
      <c r="W720" s="976"/>
      <c r="X720" s="976"/>
      <c r="Y720" s="976"/>
      <c r="Z720" s="976"/>
      <c r="AA720" s="976"/>
      <c r="AB720" s="976"/>
      <c r="AC720" s="976"/>
      <c r="AD720" s="976"/>
    </row>
    <row r="721" spans="8:8">
      <c r="A721" s="976"/>
      <c r="B721" s="976"/>
      <c r="C721" s="976"/>
      <c r="D721" s="976"/>
      <c r="E721" s="977"/>
      <c r="F721" s="976"/>
      <c r="G721" s="976"/>
      <c r="H721" s="976"/>
      <c r="I721" s="976"/>
      <c r="J721" s="976"/>
      <c r="K721" s="976"/>
      <c r="L721" s="976"/>
      <c r="M721" s="976"/>
      <c r="N721" s="976"/>
      <c r="O721" s="976"/>
      <c r="P721" s="976"/>
      <c r="Q721" s="976"/>
      <c r="R721" s="976"/>
      <c r="S721" s="976"/>
      <c r="T721" s="976"/>
      <c r="U721" s="976"/>
      <c r="V721" s="976"/>
      <c r="W721" s="976"/>
      <c r="X721" s="976"/>
      <c r="Y721" s="976"/>
      <c r="Z721" s="976"/>
      <c r="AA721" s="976"/>
      <c r="AB721" s="976"/>
      <c r="AC721" s="976"/>
      <c r="AD721" s="976"/>
    </row>
    <row r="722" spans="8:8">
      <c r="A722" s="976"/>
      <c r="B722" s="976"/>
      <c r="C722" s="976"/>
      <c r="D722" s="976"/>
      <c r="E722" s="977"/>
      <c r="F722" s="976"/>
      <c r="G722" s="976"/>
      <c r="H722" s="976"/>
      <c r="I722" s="976"/>
      <c r="J722" s="976"/>
      <c r="K722" s="976"/>
      <c r="L722" s="976"/>
      <c r="M722" s="976"/>
      <c r="N722" s="976"/>
      <c r="O722" s="976"/>
      <c r="P722" s="976"/>
      <c r="Q722" s="976"/>
      <c r="R722" s="976"/>
      <c r="S722" s="976"/>
      <c r="T722" s="976"/>
      <c r="U722" s="976"/>
      <c r="V722" s="976"/>
      <c r="W722" s="976"/>
      <c r="X722" s="976"/>
      <c r="Y722" s="976"/>
      <c r="Z722" s="976"/>
      <c r="AA722" s="976"/>
      <c r="AB722" s="976"/>
      <c r="AC722" s="976"/>
      <c r="AD722" s="976"/>
    </row>
    <row r="723" spans="8:8">
      <c r="A723" s="976"/>
      <c r="B723" s="976"/>
      <c r="C723" s="976"/>
      <c r="D723" s="976"/>
      <c r="E723" s="977"/>
      <c r="F723" s="976"/>
      <c r="G723" s="976"/>
      <c r="H723" s="976"/>
      <c r="I723" s="976"/>
      <c r="J723" s="976"/>
      <c r="K723" s="976"/>
      <c r="L723" s="976"/>
      <c r="M723" s="976"/>
      <c r="N723" s="976"/>
      <c r="O723" s="976"/>
      <c r="P723" s="976"/>
      <c r="Q723" s="976"/>
      <c r="R723" s="976"/>
      <c r="S723" s="976"/>
      <c r="T723" s="976"/>
      <c r="U723" s="976"/>
      <c r="V723" s="976"/>
      <c r="W723" s="976"/>
      <c r="X723" s="976"/>
      <c r="Y723" s="976"/>
      <c r="Z723" s="976"/>
      <c r="AA723" s="976"/>
      <c r="AB723" s="976"/>
      <c r="AC723" s="976"/>
      <c r="AD723" s="976"/>
    </row>
    <row r="724" spans="8:8">
      <c r="A724" s="976"/>
      <c r="B724" s="976"/>
      <c r="C724" s="976"/>
      <c r="D724" s="976"/>
      <c r="E724" s="977"/>
      <c r="F724" s="976"/>
      <c r="G724" s="976"/>
      <c r="H724" s="976"/>
      <c r="I724" s="976"/>
      <c r="J724" s="976"/>
      <c r="K724" s="976"/>
      <c r="L724" s="976"/>
      <c r="M724" s="976"/>
      <c r="N724" s="976"/>
      <c r="O724" s="976"/>
      <c r="P724" s="976"/>
      <c r="Q724" s="976"/>
      <c r="R724" s="976"/>
      <c r="S724" s="976"/>
      <c r="T724" s="976"/>
      <c r="U724" s="976"/>
      <c r="V724" s="976"/>
      <c r="W724" s="976"/>
      <c r="X724" s="976"/>
      <c r="Y724" s="976"/>
      <c r="Z724" s="976"/>
      <c r="AA724" s="976"/>
      <c r="AB724" s="976"/>
      <c r="AC724" s="976"/>
      <c r="AD724" s="976"/>
    </row>
    <row r="725" spans="8:8">
      <c r="A725" s="976"/>
      <c r="B725" s="976"/>
      <c r="C725" s="976"/>
      <c r="D725" s="976"/>
      <c r="E725" s="977"/>
      <c r="F725" s="976"/>
      <c r="G725" s="976"/>
      <c r="H725" s="976"/>
      <c r="I725" s="976"/>
      <c r="J725" s="976"/>
      <c r="K725" s="976"/>
      <c r="L725" s="976"/>
      <c r="M725" s="976"/>
      <c r="N725" s="976"/>
      <c r="O725" s="976"/>
      <c r="P725" s="976"/>
      <c r="Q725" s="976"/>
      <c r="R725" s="976"/>
      <c r="S725" s="976"/>
      <c r="T725" s="976"/>
      <c r="U725" s="976"/>
      <c r="V725" s="976"/>
      <c r="W725" s="976"/>
      <c r="X725" s="976"/>
      <c r="Y725" s="976"/>
      <c r="Z725" s="976"/>
      <c r="AA725" s="976"/>
      <c r="AB725" s="976"/>
      <c r="AC725" s="976"/>
      <c r="AD725" s="976"/>
    </row>
    <row r="726" spans="8:8">
      <c r="A726" s="976"/>
      <c r="B726" s="976"/>
      <c r="C726" s="976"/>
      <c r="D726" s="976"/>
      <c r="E726" s="977"/>
      <c r="F726" s="976"/>
      <c r="G726" s="976"/>
      <c r="H726" s="976"/>
      <c r="I726" s="976"/>
      <c r="J726" s="976"/>
      <c r="K726" s="976"/>
      <c r="L726" s="976"/>
      <c r="M726" s="976"/>
      <c r="N726" s="976"/>
      <c r="O726" s="976"/>
      <c r="P726" s="976"/>
      <c r="Q726" s="976"/>
      <c r="R726" s="976"/>
      <c r="S726" s="976"/>
      <c r="T726" s="976"/>
      <c r="U726" s="976"/>
      <c r="V726" s="976"/>
      <c r="W726" s="976"/>
      <c r="X726" s="976"/>
      <c r="Y726" s="976"/>
      <c r="Z726" s="976"/>
      <c r="AA726" s="976"/>
      <c r="AB726" s="976"/>
      <c r="AC726" s="976"/>
      <c r="AD726" s="976"/>
    </row>
    <row r="727" spans="8:8">
      <c r="A727" s="976"/>
      <c r="B727" s="976"/>
      <c r="C727" s="976"/>
      <c r="D727" s="976"/>
      <c r="E727" s="977"/>
      <c r="F727" s="976"/>
      <c r="G727" s="976"/>
      <c r="H727" s="976"/>
      <c r="I727" s="976"/>
      <c r="J727" s="976"/>
      <c r="K727" s="976"/>
      <c r="L727" s="976"/>
      <c r="M727" s="976"/>
      <c r="N727" s="976"/>
      <c r="O727" s="976"/>
      <c r="P727" s="976"/>
      <c r="Q727" s="976"/>
      <c r="R727" s="976"/>
      <c r="S727" s="976"/>
      <c r="T727" s="976"/>
      <c r="U727" s="976"/>
      <c r="V727" s="976"/>
      <c r="W727" s="976"/>
      <c r="X727" s="976"/>
      <c r="Y727" s="976"/>
      <c r="Z727" s="976"/>
      <c r="AA727" s="976"/>
      <c r="AB727" s="976"/>
      <c r="AC727" s="976"/>
      <c r="AD727" s="976"/>
    </row>
    <row r="728" spans="8:8">
      <c r="A728" s="976"/>
      <c r="B728" s="976"/>
      <c r="C728" s="976"/>
      <c r="D728" s="976"/>
      <c r="E728" s="977"/>
      <c r="F728" s="976"/>
      <c r="G728" s="976"/>
      <c r="H728" s="976"/>
      <c r="I728" s="976"/>
      <c r="J728" s="976"/>
      <c r="K728" s="976"/>
      <c r="L728" s="976"/>
      <c r="M728" s="976"/>
      <c r="N728" s="976"/>
      <c r="O728" s="976"/>
      <c r="P728" s="976"/>
      <c r="Q728" s="976"/>
      <c r="R728" s="976"/>
      <c r="S728" s="976"/>
      <c r="T728" s="976"/>
      <c r="U728" s="976"/>
      <c r="V728" s="976"/>
      <c r="W728" s="976"/>
      <c r="X728" s="976"/>
      <c r="Y728" s="976"/>
      <c r="Z728" s="976"/>
      <c r="AA728" s="976"/>
      <c r="AB728" s="976"/>
      <c r="AC728" s="976"/>
      <c r="AD728" s="976"/>
    </row>
    <row r="729" spans="8:8">
      <c r="A729" s="976"/>
      <c r="B729" s="976"/>
      <c r="C729" s="976"/>
      <c r="D729" s="976"/>
      <c r="E729" s="977"/>
      <c r="F729" s="976"/>
      <c r="G729" s="976"/>
      <c r="H729" s="976"/>
      <c r="I729" s="976"/>
      <c r="J729" s="976"/>
      <c r="K729" s="976"/>
      <c r="L729" s="976"/>
      <c r="M729" s="976"/>
      <c r="N729" s="976"/>
      <c r="O729" s="976"/>
      <c r="P729" s="976"/>
      <c r="Q729" s="976"/>
      <c r="R729" s="976"/>
      <c r="S729" s="976"/>
      <c r="T729" s="976"/>
      <c r="U729" s="976"/>
      <c r="V729" s="976"/>
      <c r="W729" s="976"/>
      <c r="X729" s="976"/>
      <c r="Y729" s="976"/>
      <c r="Z729" s="976"/>
      <c r="AA729" s="976"/>
      <c r="AB729" s="976"/>
      <c r="AC729" s="976"/>
      <c r="AD729" s="976"/>
    </row>
    <row r="730" spans="8:8">
      <c r="A730" s="976"/>
      <c r="B730" s="976"/>
      <c r="C730" s="976"/>
      <c r="D730" s="976"/>
      <c r="E730" s="977"/>
      <c r="F730" s="976"/>
      <c r="G730" s="976"/>
      <c r="H730" s="976"/>
      <c r="I730" s="976"/>
      <c r="J730" s="976"/>
      <c r="K730" s="976"/>
      <c r="L730" s="976"/>
      <c r="M730" s="976"/>
      <c r="N730" s="976"/>
      <c r="O730" s="976"/>
      <c r="P730" s="976"/>
      <c r="Q730" s="976"/>
      <c r="R730" s="976"/>
      <c r="S730" s="976"/>
      <c r="T730" s="976"/>
      <c r="U730" s="976"/>
      <c r="V730" s="976"/>
      <c r="W730" s="976"/>
      <c r="X730" s="976"/>
      <c r="Y730" s="976"/>
      <c r="Z730" s="976"/>
      <c r="AA730" s="976"/>
      <c r="AB730" s="976"/>
      <c r="AC730" s="976"/>
      <c r="AD730" s="976"/>
    </row>
    <row r="731" spans="8:8">
      <c r="A731" s="976"/>
      <c r="B731" s="976"/>
      <c r="C731" s="976"/>
      <c r="D731" s="976"/>
      <c r="E731" s="977"/>
      <c r="F731" s="976"/>
      <c r="G731" s="976"/>
      <c r="H731" s="976"/>
      <c r="I731" s="976"/>
      <c r="J731" s="976"/>
      <c r="K731" s="976"/>
      <c r="L731" s="976"/>
      <c r="M731" s="976"/>
      <c r="N731" s="976"/>
      <c r="O731" s="976"/>
      <c r="P731" s="976"/>
      <c r="Q731" s="976"/>
      <c r="R731" s="976"/>
      <c r="S731" s="976"/>
      <c r="T731" s="976"/>
      <c r="U731" s="976"/>
      <c r="V731" s="976"/>
      <c r="W731" s="976"/>
      <c r="X731" s="976"/>
      <c r="Y731" s="976"/>
      <c r="Z731" s="976"/>
      <c r="AA731" s="976"/>
      <c r="AB731" s="976"/>
      <c r="AC731" s="976"/>
      <c r="AD731" s="976"/>
    </row>
    <row r="732" spans="8:8">
      <c r="A732" s="976"/>
      <c r="B732" s="976"/>
      <c r="C732" s="976"/>
      <c r="D732" s="976"/>
      <c r="E732" s="977"/>
      <c r="F732" s="976"/>
      <c r="G732" s="976"/>
      <c r="H732" s="976"/>
      <c r="I732" s="976"/>
      <c r="J732" s="976"/>
      <c r="K732" s="976"/>
      <c r="L732" s="976"/>
      <c r="M732" s="976"/>
      <c r="N732" s="976"/>
      <c r="O732" s="976"/>
      <c r="P732" s="976"/>
      <c r="Q732" s="976"/>
      <c r="R732" s="976"/>
      <c r="S732" s="976"/>
      <c r="T732" s="976"/>
      <c r="U732" s="976"/>
      <c r="V732" s="976"/>
      <c r="W732" s="976"/>
      <c r="X732" s="976"/>
      <c r="Y732" s="976"/>
      <c r="Z732" s="976"/>
      <c r="AA732" s="976"/>
      <c r="AB732" s="976"/>
      <c r="AC732" s="976"/>
      <c r="AD732" s="976"/>
    </row>
    <row r="733" spans="8:8">
      <c r="A733" s="976"/>
      <c r="B733" s="976"/>
      <c r="C733" s="976"/>
      <c r="D733" s="976"/>
      <c r="E733" s="977"/>
      <c r="F733" s="976"/>
      <c r="G733" s="976"/>
      <c r="H733" s="976"/>
      <c r="I733" s="976"/>
      <c r="J733" s="976"/>
      <c r="K733" s="976"/>
      <c r="L733" s="976"/>
      <c r="M733" s="976"/>
      <c r="N733" s="976"/>
      <c r="O733" s="976"/>
      <c r="P733" s="976"/>
      <c r="Q733" s="976"/>
      <c r="R733" s="976"/>
      <c r="S733" s="976"/>
      <c r="T733" s="976"/>
      <c r="U733" s="976"/>
      <c r="V733" s="976"/>
      <c r="W733" s="976"/>
      <c r="X733" s="976"/>
      <c r="Y733" s="976"/>
      <c r="Z733" s="976"/>
      <c r="AA733" s="976"/>
      <c r="AB733" s="976"/>
      <c r="AC733" s="976"/>
      <c r="AD733" s="976"/>
    </row>
    <row r="734" spans="8:8">
      <c r="A734" s="976"/>
      <c r="B734" s="976"/>
      <c r="C734" s="976"/>
      <c r="D734" s="976"/>
      <c r="E734" s="977"/>
      <c r="F734" s="976"/>
      <c r="G734" s="976"/>
      <c r="H734" s="976"/>
      <c r="I734" s="976"/>
      <c r="J734" s="976"/>
      <c r="K734" s="976"/>
      <c r="L734" s="976"/>
      <c r="M734" s="976"/>
      <c r="N734" s="976"/>
      <c r="O734" s="976"/>
      <c r="P734" s="976"/>
      <c r="Q734" s="976"/>
      <c r="R734" s="976"/>
      <c r="S734" s="976"/>
      <c r="T734" s="976"/>
      <c r="U734" s="976"/>
      <c r="V734" s="976"/>
      <c r="W734" s="976"/>
      <c r="X734" s="976"/>
      <c r="Y734" s="976"/>
      <c r="Z734" s="976"/>
      <c r="AA734" s="976"/>
      <c r="AB734" s="976"/>
      <c r="AC734" s="976"/>
      <c r="AD734" s="976"/>
    </row>
    <row r="735" spans="8:8">
      <c r="A735" s="976"/>
      <c r="B735" s="976"/>
      <c r="C735" s="976"/>
      <c r="D735" s="976"/>
      <c r="E735" s="977"/>
      <c r="F735" s="976"/>
      <c r="G735" s="976"/>
      <c r="H735" s="976"/>
      <c r="I735" s="976"/>
      <c r="J735" s="976"/>
      <c r="K735" s="976"/>
      <c r="L735" s="976"/>
      <c r="M735" s="976"/>
      <c r="N735" s="976"/>
      <c r="O735" s="976"/>
      <c r="P735" s="976"/>
      <c r="Q735" s="976"/>
      <c r="R735" s="976"/>
      <c r="S735" s="976"/>
      <c r="T735" s="976"/>
      <c r="U735" s="976"/>
      <c r="V735" s="976"/>
      <c r="W735" s="976"/>
      <c r="X735" s="976"/>
      <c r="Y735" s="976"/>
      <c r="Z735" s="976"/>
      <c r="AA735" s="976"/>
      <c r="AB735" s="976"/>
      <c r="AC735" s="976"/>
      <c r="AD735" s="976"/>
    </row>
    <row r="736" spans="8:8">
      <c r="A736" s="976"/>
      <c r="B736" s="976"/>
      <c r="C736" s="976"/>
      <c r="D736" s="976"/>
      <c r="E736" s="977"/>
      <c r="F736" s="976"/>
      <c r="G736" s="976"/>
      <c r="H736" s="976"/>
      <c r="I736" s="976"/>
      <c r="J736" s="976"/>
      <c r="K736" s="976"/>
      <c r="L736" s="976"/>
      <c r="M736" s="976"/>
      <c r="N736" s="976"/>
      <c r="O736" s="976"/>
      <c r="P736" s="976"/>
      <c r="Q736" s="976"/>
      <c r="R736" s="976"/>
      <c r="S736" s="976"/>
      <c r="T736" s="976"/>
      <c r="U736" s="976"/>
      <c r="V736" s="976"/>
      <c r="W736" s="976"/>
      <c r="X736" s="976"/>
      <c r="Y736" s="976"/>
      <c r="Z736" s="976"/>
      <c r="AA736" s="976"/>
      <c r="AB736" s="976"/>
      <c r="AC736" s="976"/>
      <c r="AD736" s="976"/>
    </row>
    <row r="737" spans="8:8">
      <c r="A737" s="976"/>
      <c r="B737" s="976"/>
      <c r="C737" s="976"/>
      <c r="D737" s="976"/>
      <c r="E737" s="977"/>
      <c r="F737" s="976"/>
      <c r="G737" s="976"/>
      <c r="H737" s="976"/>
      <c r="I737" s="976"/>
      <c r="J737" s="976"/>
      <c r="K737" s="976"/>
      <c r="L737" s="976"/>
      <c r="M737" s="976"/>
      <c r="N737" s="976"/>
      <c r="O737" s="976"/>
      <c r="P737" s="976"/>
      <c r="Q737" s="976"/>
      <c r="R737" s="976"/>
      <c r="S737" s="976"/>
      <c r="T737" s="976"/>
      <c r="U737" s="976"/>
      <c r="V737" s="976"/>
      <c r="W737" s="976"/>
      <c r="X737" s="976"/>
      <c r="Y737" s="976"/>
      <c r="Z737" s="976"/>
      <c r="AA737" s="976"/>
      <c r="AB737" s="976"/>
      <c r="AC737" s="976"/>
      <c r="AD737" s="976"/>
    </row>
    <row r="738" spans="8:8">
      <c r="A738" s="976"/>
      <c r="B738" s="976"/>
      <c r="C738" s="976"/>
      <c r="D738" s="976"/>
      <c r="E738" s="977"/>
      <c r="F738" s="976"/>
      <c r="G738" s="976"/>
      <c r="H738" s="976"/>
      <c r="I738" s="976"/>
      <c r="J738" s="976"/>
      <c r="K738" s="976"/>
      <c r="L738" s="976"/>
      <c r="M738" s="976"/>
      <c r="N738" s="976"/>
      <c r="O738" s="976"/>
      <c r="P738" s="976"/>
      <c r="Q738" s="976"/>
      <c r="R738" s="976"/>
      <c r="S738" s="976"/>
      <c r="T738" s="976"/>
      <c r="U738" s="976"/>
      <c r="V738" s="976"/>
      <c r="W738" s="976"/>
      <c r="X738" s="976"/>
      <c r="Y738" s="976"/>
      <c r="Z738" s="976"/>
      <c r="AA738" s="976"/>
      <c r="AB738" s="976"/>
      <c r="AC738" s="976"/>
      <c r="AD738" s="976"/>
    </row>
    <row r="739" spans="8:8">
      <c r="A739" s="976"/>
      <c r="B739" s="976"/>
      <c r="C739" s="976"/>
      <c r="D739" s="976"/>
      <c r="E739" s="977"/>
      <c r="F739" s="976"/>
      <c r="G739" s="976"/>
      <c r="H739" s="976"/>
      <c r="I739" s="976"/>
      <c r="J739" s="976"/>
      <c r="K739" s="976"/>
      <c r="L739" s="976"/>
      <c r="M739" s="976"/>
      <c r="N739" s="976"/>
      <c r="O739" s="976"/>
      <c r="P739" s="976"/>
      <c r="Q739" s="976"/>
      <c r="R739" s="976"/>
      <c r="S739" s="976"/>
      <c r="T739" s="976"/>
      <c r="U739" s="976"/>
      <c r="V739" s="976"/>
      <c r="W739" s="976"/>
      <c r="X739" s="976"/>
      <c r="Y739" s="976"/>
      <c r="Z739" s="976"/>
      <c r="AA739" s="976"/>
      <c r="AB739" s="976"/>
      <c r="AC739" s="976"/>
      <c r="AD739" s="976"/>
    </row>
    <row r="740" spans="8:8">
      <c r="A740" s="976"/>
      <c r="B740" s="976"/>
      <c r="C740" s="976"/>
      <c r="D740" s="976"/>
      <c r="E740" s="977"/>
      <c r="F740" s="976"/>
      <c r="G740" s="976"/>
      <c r="H740" s="976"/>
      <c r="I740" s="976"/>
      <c r="J740" s="976"/>
      <c r="K740" s="976"/>
      <c r="L740" s="976"/>
      <c r="M740" s="976"/>
      <c r="N740" s="976"/>
      <c r="O740" s="976"/>
      <c r="P740" s="976"/>
      <c r="Q740" s="976"/>
      <c r="R740" s="976"/>
      <c r="S740" s="976"/>
      <c r="T740" s="976"/>
      <c r="U740" s="976"/>
      <c r="V740" s="976"/>
      <c r="W740" s="976"/>
      <c r="X740" s="976"/>
      <c r="Y740" s="976"/>
      <c r="Z740" s="976"/>
      <c r="AA740" s="976"/>
      <c r="AB740" s="976"/>
      <c r="AC740" s="976"/>
      <c r="AD740" s="976"/>
    </row>
    <row r="741" spans="8:8">
      <c r="A741" s="976"/>
      <c r="B741" s="976"/>
      <c r="C741" s="976"/>
      <c r="D741" s="976"/>
      <c r="E741" s="977"/>
      <c r="F741" s="976"/>
      <c r="G741" s="976"/>
      <c r="H741" s="976"/>
      <c r="I741" s="976"/>
      <c r="J741" s="976"/>
      <c r="K741" s="976"/>
      <c r="L741" s="976"/>
      <c r="M741" s="976"/>
      <c r="N741" s="976"/>
      <c r="O741" s="976"/>
      <c r="P741" s="976"/>
      <c r="Q741" s="976"/>
      <c r="R741" s="976"/>
      <c r="S741" s="976"/>
      <c r="T741" s="976"/>
      <c r="U741" s="976"/>
      <c r="V741" s="976"/>
      <c r="W741" s="976"/>
      <c r="X741" s="976"/>
      <c r="Y741" s="976"/>
      <c r="Z741" s="976"/>
      <c r="AA741" s="976"/>
      <c r="AB741" s="976"/>
      <c r="AC741" s="976"/>
      <c r="AD741" s="976"/>
    </row>
    <row r="742" spans="8:8">
      <c r="A742" s="976"/>
      <c r="B742" s="976"/>
      <c r="C742" s="976"/>
      <c r="D742" s="976"/>
      <c r="E742" s="977"/>
      <c r="F742" s="976"/>
      <c r="G742" s="976"/>
      <c r="H742" s="976"/>
      <c r="I742" s="976"/>
      <c r="J742" s="976"/>
      <c r="K742" s="976"/>
      <c r="L742" s="976"/>
      <c r="M742" s="976"/>
      <c r="N742" s="976"/>
      <c r="O742" s="976"/>
      <c r="P742" s="976"/>
      <c r="Q742" s="976"/>
      <c r="R742" s="976"/>
      <c r="S742" s="976"/>
      <c r="T742" s="976"/>
      <c r="U742" s="976"/>
      <c r="V742" s="976"/>
      <c r="W742" s="976"/>
      <c r="X742" s="976"/>
      <c r="Y742" s="976"/>
      <c r="Z742" s="976"/>
      <c r="AA742" s="976"/>
      <c r="AB742" s="976"/>
      <c r="AC742" s="976"/>
      <c r="AD742" s="976"/>
    </row>
    <row r="743" spans="8:8">
      <c r="A743" s="976"/>
      <c r="B743" s="976"/>
      <c r="C743" s="976"/>
      <c r="D743" s="976"/>
      <c r="E743" s="977"/>
      <c r="F743" s="976"/>
      <c r="G743" s="976"/>
      <c r="H743" s="976"/>
      <c r="I743" s="976"/>
      <c r="J743" s="976"/>
      <c r="K743" s="976"/>
      <c r="L743" s="976"/>
      <c r="M743" s="976"/>
      <c r="N743" s="976"/>
      <c r="O743" s="976"/>
      <c r="P743" s="976"/>
      <c r="Q743" s="976"/>
      <c r="R743" s="976"/>
      <c r="S743" s="976"/>
      <c r="T743" s="976"/>
      <c r="U743" s="976"/>
      <c r="V743" s="976"/>
      <c r="W743" s="976"/>
      <c r="X743" s="976"/>
      <c r="Y743" s="976"/>
      <c r="Z743" s="976"/>
      <c r="AA743" s="976"/>
      <c r="AB743" s="976"/>
      <c r="AC743" s="976"/>
      <c r="AD743" s="976"/>
    </row>
    <row r="744" spans="8:8">
      <c r="A744" s="976"/>
      <c r="B744" s="976"/>
      <c r="C744" s="976"/>
      <c r="D744" s="976"/>
      <c r="E744" s="977"/>
      <c r="F744" s="976"/>
      <c r="G744" s="976"/>
      <c r="H744" s="976"/>
      <c r="I744" s="976"/>
      <c r="J744" s="976"/>
      <c r="K744" s="976"/>
      <c r="L744" s="976"/>
      <c r="M744" s="976"/>
      <c r="N744" s="976"/>
      <c r="O744" s="976"/>
      <c r="P744" s="976"/>
      <c r="Q744" s="976"/>
      <c r="R744" s="976"/>
      <c r="S744" s="976"/>
      <c r="T744" s="976"/>
      <c r="U744" s="976"/>
      <c r="V744" s="976"/>
      <c r="W744" s="976"/>
      <c r="X744" s="976"/>
      <c r="Y744" s="976"/>
      <c r="Z744" s="976"/>
      <c r="AA744" s="976"/>
      <c r="AB744" s="976"/>
      <c r="AC744" s="976"/>
      <c r="AD744" s="976"/>
    </row>
    <row r="745" spans="8:8">
      <c r="A745" s="976"/>
      <c r="B745" s="976"/>
      <c r="C745" s="976"/>
      <c r="D745" s="976"/>
      <c r="E745" s="977"/>
      <c r="F745" s="976"/>
      <c r="G745" s="976"/>
      <c r="H745" s="976"/>
      <c r="I745" s="976"/>
      <c r="J745" s="976"/>
      <c r="K745" s="976"/>
      <c r="L745" s="976"/>
      <c r="M745" s="976"/>
      <c r="N745" s="976"/>
      <c r="O745" s="976"/>
      <c r="P745" s="976"/>
      <c r="Q745" s="976"/>
      <c r="R745" s="976"/>
      <c r="S745" s="976"/>
      <c r="T745" s="976"/>
      <c r="U745" s="976"/>
      <c r="V745" s="976"/>
      <c r="W745" s="976"/>
      <c r="X745" s="976"/>
      <c r="Y745" s="976"/>
      <c r="Z745" s="976"/>
      <c r="AA745" s="976"/>
      <c r="AB745" s="976"/>
      <c r="AC745" s="976"/>
      <c r="AD745" s="976"/>
    </row>
    <row r="746" spans="8:8">
      <c r="A746" s="976"/>
      <c r="B746" s="976"/>
      <c r="C746" s="976"/>
      <c r="D746" s="976"/>
      <c r="E746" s="977"/>
      <c r="F746" s="976"/>
      <c r="G746" s="976"/>
      <c r="H746" s="976"/>
      <c r="I746" s="976"/>
      <c r="J746" s="976"/>
      <c r="K746" s="976"/>
      <c r="L746" s="976"/>
      <c r="M746" s="976"/>
      <c r="N746" s="976"/>
      <c r="O746" s="976"/>
      <c r="P746" s="976"/>
      <c r="Q746" s="976"/>
      <c r="R746" s="976"/>
      <c r="S746" s="976"/>
      <c r="T746" s="976"/>
      <c r="U746" s="976"/>
      <c r="V746" s="976"/>
      <c r="W746" s="976"/>
      <c r="X746" s="976"/>
      <c r="Y746" s="976"/>
      <c r="Z746" s="976"/>
      <c r="AA746" s="976"/>
      <c r="AB746" s="976"/>
      <c r="AC746" s="976"/>
      <c r="AD746" s="976"/>
    </row>
    <row r="747" spans="8:8">
      <c r="A747" s="976"/>
      <c r="B747" s="976"/>
      <c r="C747" s="976"/>
      <c r="D747" s="976"/>
      <c r="E747" s="977"/>
      <c r="F747" s="976"/>
      <c r="G747" s="976"/>
      <c r="H747" s="976"/>
      <c r="I747" s="976"/>
      <c r="J747" s="976"/>
      <c r="K747" s="976"/>
      <c r="L747" s="976"/>
      <c r="M747" s="976"/>
      <c r="N747" s="976"/>
      <c r="O747" s="976"/>
      <c r="P747" s="976"/>
      <c r="Q747" s="976"/>
      <c r="R747" s="976"/>
      <c r="S747" s="976"/>
      <c r="T747" s="976"/>
      <c r="U747" s="976"/>
      <c r="V747" s="976"/>
      <c r="W747" s="976"/>
      <c r="X747" s="976"/>
      <c r="Y747" s="976"/>
      <c r="Z747" s="976"/>
      <c r="AA747" s="976"/>
      <c r="AB747" s="976"/>
      <c r="AC747" s="976"/>
      <c r="AD747" s="976"/>
    </row>
    <row r="748" spans="8:8">
      <c r="A748" s="976"/>
      <c r="B748" s="976"/>
      <c r="C748" s="976"/>
      <c r="D748" s="976"/>
      <c r="E748" s="977"/>
      <c r="F748" s="976"/>
      <c r="G748" s="976"/>
      <c r="H748" s="976"/>
      <c r="I748" s="976"/>
      <c r="J748" s="976"/>
      <c r="K748" s="976"/>
      <c r="L748" s="976"/>
      <c r="M748" s="976"/>
      <c r="N748" s="976"/>
      <c r="O748" s="976"/>
      <c r="P748" s="976"/>
      <c r="Q748" s="976"/>
      <c r="R748" s="976"/>
      <c r="S748" s="976"/>
      <c r="T748" s="976"/>
      <c r="U748" s="976"/>
      <c r="V748" s="976"/>
      <c r="W748" s="976"/>
      <c r="X748" s="976"/>
      <c r="Y748" s="976"/>
      <c r="Z748" s="976"/>
      <c r="AA748" s="976"/>
      <c r="AB748" s="976"/>
      <c r="AC748" s="976"/>
      <c r="AD748" s="976"/>
    </row>
    <row r="749" spans="8:8">
      <c r="A749" s="976"/>
      <c r="B749" s="976"/>
      <c r="C749" s="976"/>
      <c r="D749" s="976"/>
      <c r="E749" s="977"/>
      <c r="F749" s="976"/>
      <c r="G749" s="976"/>
      <c r="H749" s="976"/>
      <c r="I749" s="976"/>
      <c r="J749" s="976"/>
      <c r="K749" s="976"/>
      <c r="L749" s="976"/>
      <c r="M749" s="976"/>
      <c r="N749" s="976"/>
      <c r="O749" s="976"/>
      <c r="P749" s="976"/>
      <c r="Q749" s="976"/>
      <c r="R749" s="976"/>
      <c r="S749" s="976"/>
      <c r="T749" s="976"/>
      <c r="U749" s="976"/>
      <c r="V749" s="976"/>
      <c r="W749" s="976"/>
      <c r="X749" s="976"/>
      <c r="Y749" s="976"/>
      <c r="Z749" s="976"/>
      <c r="AA749" s="976"/>
      <c r="AB749" s="976"/>
      <c r="AC749" s="976"/>
      <c r="AD749" s="976"/>
    </row>
    <row r="750" spans="8:8">
      <c r="A750" s="976"/>
      <c r="B750" s="976"/>
      <c r="C750" s="976"/>
      <c r="D750" s="976"/>
      <c r="E750" s="977"/>
      <c r="F750" s="976"/>
      <c r="G750" s="976"/>
      <c r="H750" s="976"/>
      <c r="I750" s="976"/>
      <c r="J750" s="976"/>
      <c r="K750" s="976"/>
      <c r="L750" s="976"/>
      <c r="M750" s="976"/>
      <c r="N750" s="976"/>
      <c r="O750" s="976"/>
      <c r="P750" s="976"/>
      <c r="Q750" s="976"/>
      <c r="R750" s="976"/>
      <c r="S750" s="976"/>
      <c r="T750" s="976"/>
      <c r="U750" s="976"/>
      <c r="V750" s="976"/>
      <c r="W750" s="976"/>
      <c r="X750" s="976"/>
      <c r="Y750" s="976"/>
      <c r="Z750" s="976"/>
      <c r="AA750" s="976"/>
      <c r="AB750" s="976"/>
      <c r="AC750" s="976"/>
      <c r="AD750" s="976"/>
    </row>
    <row r="751" spans="8:8">
      <c r="A751" s="976"/>
      <c r="B751" s="976"/>
      <c r="C751" s="976"/>
      <c r="D751" s="976"/>
      <c r="E751" s="977"/>
      <c r="F751" s="976"/>
      <c r="G751" s="976"/>
      <c r="H751" s="976"/>
      <c r="I751" s="976"/>
      <c r="J751" s="976"/>
      <c r="K751" s="976"/>
      <c r="L751" s="976"/>
      <c r="M751" s="976"/>
      <c r="N751" s="976"/>
      <c r="O751" s="976"/>
      <c r="P751" s="976"/>
      <c r="Q751" s="976"/>
      <c r="R751" s="976"/>
      <c r="S751" s="976"/>
      <c r="T751" s="976"/>
      <c r="U751" s="976"/>
      <c r="V751" s="976"/>
      <c r="W751" s="976"/>
      <c r="X751" s="976"/>
      <c r="Y751" s="976"/>
      <c r="Z751" s="976"/>
      <c r="AA751" s="976"/>
      <c r="AB751" s="976"/>
      <c r="AC751" s="976"/>
      <c r="AD751" s="976"/>
    </row>
    <row r="752" spans="8:8">
      <c r="A752" s="976"/>
      <c r="B752" s="976"/>
      <c r="C752" s="976"/>
      <c r="D752" s="976"/>
      <c r="E752" s="977"/>
      <c r="F752" s="976"/>
      <c r="G752" s="976"/>
      <c r="H752" s="976"/>
      <c r="I752" s="976"/>
      <c r="J752" s="976"/>
      <c r="K752" s="976"/>
      <c r="L752" s="976"/>
      <c r="M752" s="976"/>
      <c r="N752" s="976"/>
      <c r="O752" s="976"/>
      <c r="P752" s="976"/>
      <c r="Q752" s="976"/>
      <c r="R752" s="976"/>
      <c r="S752" s="976"/>
      <c r="T752" s="976"/>
      <c r="U752" s="976"/>
      <c r="V752" s="976"/>
      <c r="W752" s="976"/>
      <c r="X752" s="976"/>
      <c r="Y752" s="976"/>
      <c r="Z752" s="976"/>
      <c r="AA752" s="976"/>
      <c r="AB752" s="976"/>
      <c r="AC752" s="976"/>
      <c r="AD752" s="976"/>
    </row>
    <row r="753" spans="8:8">
      <c r="A753" s="976"/>
      <c r="B753" s="976"/>
      <c r="C753" s="976"/>
      <c r="D753" s="976"/>
      <c r="E753" s="977"/>
      <c r="F753" s="976"/>
      <c r="G753" s="976"/>
      <c r="H753" s="976"/>
      <c r="I753" s="976"/>
      <c r="J753" s="976"/>
      <c r="K753" s="976"/>
      <c r="L753" s="976"/>
      <c r="M753" s="976"/>
      <c r="N753" s="976"/>
      <c r="O753" s="976"/>
      <c r="P753" s="976"/>
      <c r="Q753" s="976"/>
      <c r="R753" s="976"/>
      <c r="S753" s="976"/>
      <c r="T753" s="976"/>
      <c r="U753" s="976"/>
      <c r="V753" s="976"/>
      <c r="W753" s="976"/>
      <c r="X753" s="976"/>
      <c r="Y753" s="976"/>
      <c r="Z753" s="976"/>
      <c r="AA753" s="976"/>
      <c r="AB753" s="976"/>
      <c r="AC753" s="976"/>
      <c r="AD753" s="976"/>
    </row>
    <row r="754" spans="8:8">
      <c r="A754" s="976"/>
      <c r="B754" s="976"/>
      <c r="C754" s="976"/>
      <c r="D754" s="976"/>
      <c r="E754" s="977"/>
      <c r="F754" s="976"/>
      <c r="G754" s="976"/>
      <c r="H754" s="976"/>
      <c r="I754" s="976"/>
      <c r="J754" s="976"/>
      <c r="K754" s="976"/>
      <c r="L754" s="976"/>
      <c r="M754" s="976"/>
      <c r="N754" s="976"/>
      <c r="O754" s="976"/>
      <c r="P754" s="976"/>
      <c r="Q754" s="976"/>
      <c r="R754" s="976"/>
      <c r="S754" s="976"/>
      <c r="T754" s="976"/>
      <c r="U754" s="976"/>
      <c r="V754" s="976"/>
      <c r="W754" s="976"/>
      <c r="X754" s="976"/>
      <c r="Y754" s="976"/>
      <c r="Z754" s="976"/>
      <c r="AA754" s="976"/>
      <c r="AB754" s="976"/>
      <c r="AC754" s="976"/>
      <c r="AD754" s="976"/>
    </row>
    <row r="755" spans="8:8">
      <c r="A755" s="976"/>
      <c r="B755" s="976"/>
      <c r="C755" s="976"/>
      <c r="D755" s="976"/>
      <c r="E755" s="977"/>
      <c r="F755" s="976"/>
      <c r="G755" s="976"/>
      <c r="H755" s="976"/>
      <c r="I755" s="976"/>
      <c r="J755" s="976"/>
      <c r="K755" s="976"/>
      <c r="L755" s="976"/>
      <c r="M755" s="976"/>
      <c r="N755" s="976"/>
      <c r="O755" s="976"/>
      <c r="P755" s="976"/>
      <c r="Q755" s="976"/>
      <c r="R755" s="976"/>
      <c r="S755" s="976"/>
      <c r="T755" s="976"/>
      <c r="U755" s="976"/>
      <c r="V755" s="976"/>
      <c r="W755" s="976"/>
      <c r="X755" s="976"/>
      <c r="Y755" s="976"/>
      <c r="Z755" s="976"/>
      <c r="AA755" s="976"/>
      <c r="AB755" s="976"/>
      <c r="AC755" s="976"/>
      <c r="AD755" s="976"/>
    </row>
    <row r="756" spans="8:8">
      <c r="A756" s="976"/>
      <c r="B756" s="976"/>
      <c r="C756" s="976"/>
      <c r="D756" s="976"/>
      <c r="E756" s="977"/>
      <c r="F756" s="976"/>
      <c r="G756" s="976"/>
      <c r="H756" s="976"/>
      <c r="I756" s="976"/>
      <c r="J756" s="976"/>
      <c r="K756" s="976"/>
      <c r="L756" s="976"/>
      <c r="M756" s="976"/>
      <c r="N756" s="976"/>
      <c r="O756" s="976"/>
      <c r="P756" s="976"/>
      <c r="Q756" s="976"/>
      <c r="R756" s="976"/>
      <c r="S756" s="976"/>
      <c r="T756" s="976"/>
      <c r="U756" s="976"/>
      <c r="V756" s="976"/>
      <c r="W756" s="976"/>
      <c r="X756" s="976"/>
      <c r="Y756" s="976"/>
      <c r="Z756" s="976"/>
      <c r="AA756" s="976"/>
      <c r="AB756" s="976"/>
      <c r="AC756" s="976"/>
      <c r="AD756" s="976"/>
    </row>
    <row r="757" spans="8:8">
      <c r="A757" s="976"/>
      <c r="B757" s="976"/>
      <c r="C757" s="976"/>
      <c r="D757" s="976"/>
      <c r="E757" s="977"/>
      <c r="F757" s="976"/>
      <c r="G757" s="976"/>
      <c r="H757" s="976"/>
      <c r="I757" s="976"/>
      <c r="J757" s="976"/>
      <c r="K757" s="976"/>
      <c r="L757" s="976"/>
      <c r="M757" s="976"/>
      <c r="N757" s="976"/>
      <c r="O757" s="976"/>
      <c r="P757" s="976"/>
      <c r="Q757" s="976"/>
      <c r="R757" s="976"/>
      <c r="S757" s="976"/>
      <c r="T757" s="976"/>
      <c r="U757" s="976"/>
      <c r="V757" s="976"/>
      <c r="W757" s="976"/>
      <c r="X757" s="976"/>
      <c r="Y757" s="976"/>
      <c r="Z757" s="976"/>
      <c r="AA757" s="976"/>
      <c r="AB757" s="976"/>
      <c r="AC757" s="976"/>
      <c r="AD757" s="976"/>
    </row>
    <row r="758" spans="8:8">
      <c r="A758" s="976"/>
      <c r="B758" s="976"/>
      <c r="C758" s="976"/>
      <c r="D758" s="976"/>
      <c r="E758" s="977"/>
      <c r="F758" s="976"/>
      <c r="G758" s="976"/>
      <c r="H758" s="976"/>
      <c r="I758" s="976"/>
      <c r="J758" s="976"/>
      <c r="K758" s="976"/>
      <c r="L758" s="976"/>
      <c r="M758" s="976"/>
      <c r="N758" s="976"/>
      <c r="O758" s="976"/>
      <c r="P758" s="976"/>
      <c r="Q758" s="976"/>
      <c r="R758" s="976"/>
      <c r="S758" s="976"/>
      <c r="T758" s="976"/>
      <c r="U758" s="976"/>
      <c r="V758" s="976"/>
      <c r="W758" s="976"/>
      <c r="X758" s="976"/>
      <c r="Y758" s="976"/>
      <c r="Z758" s="976"/>
      <c r="AA758" s="976"/>
      <c r="AB758" s="976"/>
      <c r="AC758" s="976"/>
      <c r="AD758" s="976"/>
    </row>
    <row r="759" spans="8:8">
      <c r="A759" s="976"/>
      <c r="B759" s="976"/>
      <c r="C759" s="976"/>
      <c r="D759" s="976"/>
      <c r="E759" s="977"/>
      <c r="F759" s="976"/>
      <c r="G759" s="976"/>
      <c r="H759" s="976"/>
      <c r="I759" s="976"/>
      <c r="J759" s="976"/>
      <c r="K759" s="976"/>
      <c r="L759" s="976"/>
      <c r="M759" s="976"/>
      <c r="N759" s="976"/>
      <c r="O759" s="976"/>
      <c r="P759" s="976"/>
      <c r="Q759" s="976"/>
      <c r="R759" s="976"/>
      <c r="S759" s="976"/>
      <c r="T759" s="976"/>
      <c r="U759" s="976"/>
      <c r="V759" s="976"/>
      <c r="W759" s="976"/>
      <c r="X759" s="976"/>
      <c r="Y759" s="976"/>
      <c r="Z759" s="976"/>
      <c r="AA759" s="976"/>
      <c r="AB759" s="976"/>
      <c r="AC759" s="976"/>
      <c r="AD759" s="976"/>
    </row>
    <row r="760" spans="8:8">
      <c r="A760" s="976"/>
      <c r="B760" s="976"/>
      <c r="C760" s="976"/>
      <c r="D760" s="976"/>
      <c r="E760" s="977"/>
      <c r="F760" s="976"/>
      <c r="G760" s="976"/>
      <c r="H760" s="976"/>
      <c r="I760" s="976"/>
      <c r="J760" s="976"/>
      <c r="K760" s="976"/>
      <c r="L760" s="976"/>
      <c r="M760" s="976"/>
      <c r="N760" s="976"/>
      <c r="O760" s="976"/>
      <c r="P760" s="976"/>
      <c r="Q760" s="976"/>
      <c r="R760" s="976"/>
      <c r="S760" s="976"/>
      <c r="T760" s="976"/>
      <c r="U760" s="976"/>
      <c r="V760" s="976"/>
      <c r="W760" s="976"/>
      <c r="X760" s="976"/>
      <c r="Y760" s="976"/>
      <c r="Z760" s="976"/>
      <c r="AA760" s="976"/>
      <c r="AB760" s="976"/>
      <c r="AC760" s="976"/>
      <c r="AD760" s="976"/>
    </row>
    <row r="761" spans="8:8">
      <c r="A761" s="976"/>
      <c r="B761" s="976"/>
      <c r="C761" s="976"/>
      <c r="D761" s="976"/>
      <c r="E761" s="977"/>
      <c r="F761" s="976"/>
      <c r="G761" s="976"/>
      <c r="H761" s="976"/>
      <c r="I761" s="976"/>
      <c r="J761" s="976"/>
      <c r="K761" s="976"/>
      <c r="L761" s="976"/>
      <c r="M761" s="976"/>
      <c r="N761" s="976"/>
      <c r="O761" s="976"/>
      <c r="P761" s="976"/>
      <c r="Q761" s="976"/>
      <c r="R761" s="976"/>
      <c r="S761" s="976"/>
      <c r="T761" s="976"/>
      <c r="U761" s="976"/>
      <c r="V761" s="976"/>
      <c r="W761" s="976"/>
      <c r="X761" s="976"/>
      <c r="Y761" s="976"/>
      <c r="Z761" s="976"/>
      <c r="AA761" s="976"/>
      <c r="AB761" s="976"/>
      <c r="AC761" s="976"/>
      <c r="AD761" s="976"/>
    </row>
    <row r="762" spans="8:8">
      <c r="A762" s="976"/>
      <c r="B762" s="976"/>
      <c r="C762" s="976"/>
      <c r="D762" s="976"/>
      <c r="E762" s="977"/>
      <c r="F762" s="976"/>
      <c r="G762" s="976"/>
      <c r="H762" s="976"/>
      <c r="I762" s="976"/>
      <c r="J762" s="976"/>
      <c r="K762" s="976"/>
      <c r="L762" s="976"/>
      <c r="M762" s="976"/>
      <c r="N762" s="976"/>
      <c r="O762" s="976"/>
      <c r="P762" s="976"/>
      <c r="Q762" s="976"/>
      <c r="R762" s="976"/>
      <c r="S762" s="976"/>
      <c r="T762" s="976"/>
      <c r="U762" s="976"/>
      <c r="V762" s="976"/>
      <c r="W762" s="976"/>
      <c r="X762" s="976"/>
      <c r="Y762" s="976"/>
      <c r="Z762" s="976"/>
      <c r="AA762" s="976"/>
      <c r="AB762" s="976"/>
      <c r="AC762" s="976"/>
      <c r="AD762" s="976"/>
    </row>
    <row r="763" spans="8:8">
      <c r="A763" s="976"/>
      <c r="B763" s="976"/>
      <c r="C763" s="976"/>
      <c r="D763" s="976"/>
      <c r="E763" s="977"/>
      <c r="F763" s="976"/>
      <c r="G763" s="976"/>
      <c r="H763" s="976"/>
      <c r="I763" s="976"/>
      <c r="J763" s="976"/>
      <c r="K763" s="976"/>
      <c r="L763" s="976"/>
      <c r="M763" s="976"/>
      <c r="N763" s="976"/>
      <c r="O763" s="976"/>
      <c r="P763" s="976"/>
      <c r="Q763" s="976"/>
      <c r="R763" s="976"/>
      <c r="S763" s="976"/>
      <c r="T763" s="976"/>
      <c r="U763" s="976"/>
      <c r="V763" s="976"/>
      <c r="W763" s="976"/>
      <c r="X763" s="976"/>
      <c r="Y763" s="976"/>
      <c r="Z763" s="976"/>
      <c r="AA763" s="976"/>
      <c r="AB763" s="976"/>
      <c r="AC763" s="976"/>
      <c r="AD763" s="976"/>
    </row>
    <row r="764" spans="8:8">
      <c r="A764" s="976"/>
      <c r="B764" s="976"/>
      <c r="C764" s="976"/>
      <c r="D764" s="976"/>
      <c r="E764" s="977"/>
      <c r="F764" s="976"/>
      <c r="G764" s="976"/>
      <c r="H764" s="976"/>
      <c r="I764" s="976"/>
      <c r="J764" s="976"/>
      <c r="K764" s="976"/>
      <c r="L764" s="976"/>
      <c r="M764" s="976"/>
      <c r="N764" s="976"/>
      <c r="O764" s="976"/>
      <c r="P764" s="976"/>
      <c r="Q764" s="976"/>
      <c r="R764" s="976"/>
      <c r="S764" s="976"/>
      <c r="T764" s="976"/>
      <c r="U764" s="976"/>
      <c r="V764" s="976"/>
      <c r="W764" s="976"/>
      <c r="X764" s="976"/>
      <c r="Y764" s="976"/>
      <c r="Z764" s="976"/>
      <c r="AA764" s="976"/>
      <c r="AB764" s="976"/>
      <c r="AC764" s="976"/>
      <c r="AD764" s="976"/>
    </row>
    <row r="765" spans="8:8">
      <c r="A765" s="976"/>
      <c r="B765" s="976"/>
      <c r="C765" s="976"/>
      <c r="D765" s="976"/>
      <c r="E765" s="977"/>
      <c r="F765" s="976"/>
      <c r="G765" s="976"/>
      <c r="H765" s="976"/>
      <c r="I765" s="976"/>
      <c r="J765" s="976"/>
      <c r="K765" s="976"/>
      <c r="L765" s="976"/>
      <c r="M765" s="976"/>
      <c r="N765" s="976"/>
      <c r="O765" s="976"/>
      <c r="P765" s="976"/>
      <c r="Q765" s="976"/>
      <c r="R765" s="976"/>
      <c r="S765" s="976"/>
      <c r="T765" s="976"/>
      <c r="U765" s="976"/>
      <c r="V765" s="976"/>
      <c r="W765" s="976"/>
      <c r="X765" s="976"/>
      <c r="Y765" s="976"/>
      <c r="Z765" s="976"/>
      <c r="AA765" s="976"/>
      <c r="AB765" s="976"/>
      <c r="AC765" s="976"/>
      <c r="AD765" s="976"/>
    </row>
    <row r="766" spans="8:8">
      <c r="A766" s="976"/>
      <c r="B766" s="976"/>
      <c r="C766" s="976"/>
      <c r="D766" s="976"/>
      <c r="E766" s="977"/>
      <c r="F766" s="976"/>
      <c r="G766" s="976"/>
      <c r="H766" s="976"/>
      <c r="I766" s="976"/>
      <c r="J766" s="976"/>
      <c r="K766" s="976"/>
      <c r="L766" s="976"/>
      <c r="M766" s="976"/>
      <c r="N766" s="976"/>
      <c r="O766" s="976"/>
      <c r="P766" s="976"/>
      <c r="Q766" s="976"/>
      <c r="R766" s="976"/>
      <c r="S766" s="976"/>
      <c r="T766" s="976"/>
      <c r="U766" s="976"/>
      <c r="V766" s="976"/>
      <c r="W766" s="976"/>
      <c r="X766" s="976"/>
      <c r="Y766" s="976"/>
      <c r="Z766" s="976"/>
      <c r="AA766" s="976"/>
      <c r="AB766" s="976"/>
      <c r="AC766" s="976"/>
      <c r="AD766" s="976"/>
    </row>
    <row r="767" spans="8:8">
      <c r="A767" s="976"/>
      <c r="B767" s="976"/>
      <c r="C767" s="976"/>
      <c r="D767" s="976"/>
      <c r="E767" s="977"/>
      <c r="F767" s="976"/>
      <c r="G767" s="976"/>
      <c r="H767" s="976"/>
      <c r="I767" s="976"/>
      <c r="J767" s="976"/>
      <c r="K767" s="976"/>
      <c r="L767" s="976"/>
      <c r="M767" s="976"/>
      <c r="N767" s="976"/>
      <c r="O767" s="976"/>
      <c r="P767" s="976"/>
      <c r="Q767" s="976"/>
      <c r="R767" s="976"/>
      <c r="S767" s="976"/>
      <c r="T767" s="976"/>
      <c r="U767" s="976"/>
      <c r="V767" s="976"/>
      <c r="W767" s="976"/>
      <c r="X767" s="976"/>
      <c r="Y767" s="976"/>
      <c r="Z767" s="976"/>
      <c r="AA767" s="976"/>
      <c r="AB767" s="976"/>
      <c r="AC767" s="976"/>
      <c r="AD767" s="976"/>
    </row>
    <row r="768" spans="8:8">
      <c r="A768" s="976"/>
      <c r="B768" s="976"/>
      <c r="C768" s="976"/>
      <c r="D768" s="976"/>
      <c r="E768" s="977"/>
      <c r="F768" s="976"/>
      <c r="G768" s="976"/>
      <c r="H768" s="976"/>
      <c r="I768" s="976"/>
      <c r="J768" s="976"/>
      <c r="K768" s="976"/>
      <c r="L768" s="976"/>
      <c r="M768" s="976"/>
      <c r="N768" s="976"/>
      <c r="O768" s="976"/>
      <c r="P768" s="976"/>
      <c r="Q768" s="976"/>
      <c r="R768" s="976"/>
      <c r="S768" s="976"/>
      <c r="T768" s="976"/>
      <c r="U768" s="976"/>
      <c r="V768" s="976"/>
      <c r="W768" s="976"/>
      <c r="X768" s="976"/>
      <c r="Y768" s="976"/>
      <c r="Z768" s="976"/>
      <c r="AA768" s="976"/>
      <c r="AB768" s="976"/>
      <c r="AC768" s="976"/>
      <c r="AD768" s="976"/>
    </row>
    <row r="769" spans="8:8">
      <c r="A769" s="976"/>
      <c r="B769" s="976"/>
      <c r="C769" s="976"/>
      <c r="D769" s="976"/>
      <c r="E769" s="977"/>
      <c r="F769" s="976"/>
      <c r="G769" s="976"/>
      <c r="H769" s="976"/>
      <c r="I769" s="976"/>
      <c r="J769" s="976"/>
      <c r="K769" s="976"/>
      <c r="L769" s="976"/>
      <c r="M769" s="976"/>
      <c r="N769" s="976"/>
      <c r="O769" s="976"/>
      <c r="P769" s="976"/>
      <c r="Q769" s="976"/>
      <c r="R769" s="976"/>
      <c r="S769" s="976"/>
      <c r="T769" s="976"/>
      <c r="U769" s="976"/>
      <c r="V769" s="976"/>
      <c r="W769" s="976"/>
      <c r="X769" s="976"/>
      <c r="Y769" s="976"/>
      <c r="Z769" s="976"/>
      <c r="AA769" s="976"/>
      <c r="AB769" s="976"/>
      <c r="AC769" s="976"/>
      <c r="AD769" s="976"/>
    </row>
    <row r="770" spans="8:8">
      <c r="A770" s="976"/>
      <c r="B770" s="976"/>
      <c r="C770" s="976"/>
      <c r="D770" s="976"/>
      <c r="E770" s="977"/>
      <c r="F770" s="976"/>
      <c r="G770" s="976"/>
      <c r="H770" s="976"/>
      <c r="I770" s="976"/>
      <c r="J770" s="976"/>
      <c r="K770" s="976"/>
      <c r="L770" s="976"/>
      <c r="M770" s="976"/>
      <c r="N770" s="976"/>
      <c r="O770" s="976"/>
      <c r="P770" s="976"/>
      <c r="Q770" s="976"/>
      <c r="R770" s="976"/>
      <c r="S770" s="976"/>
      <c r="T770" s="976"/>
      <c r="U770" s="976"/>
      <c r="V770" s="976"/>
      <c r="W770" s="976"/>
      <c r="X770" s="976"/>
      <c r="Y770" s="976"/>
      <c r="Z770" s="976"/>
      <c r="AA770" s="976"/>
      <c r="AB770" s="976"/>
      <c r="AC770" s="976"/>
      <c r="AD770" s="976"/>
    </row>
    <row r="771" spans="8:8">
      <c r="A771" s="976"/>
      <c r="B771" s="976"/>
      <c r="C771" s="976"/>
      <c r="D771" s="976"/>
      <c r="E771" s="977"/>
      <c r="F771" s="976"/>
      <c r="G771" s="976"/>
      <c r="H771" s="976"/>
      <c r="I771" s="976"/>
      <c r="J771" s="976"/>
      <c r="K771" s="976"/>
      <c r="L771" s="976"/>
      <c r="M771" s="976"/>
      <c r="N771" s="976"/>
      <c r="O771" s="976"/>
      <c r="P771" s="976"/>
      <c r="Q771" s="976"/>
      <c r="R771" s="976"/>
      <c r="S771" s="976"/>
      <c r="T771" s="976"/>
      <c r="U771" s="976"/>
      <c r="V771" s="976"/>
      <c r="W771" s="976"/>
      <c r="X771" s="976"/>
      <c r="Y771" s="976"/>
      <c r="Z771" s="976"/>
      <c r="AA771" s="976"/>
      <c r="AB771" s="976"/>
      <c r="AC771" s="976"/>
      <c r="AD771" s="976"/>
    </row>
    <row r="772" spans="8:8">
      <c r="A772" s="976"/>
      <c r="B772" s="976"/>
      <c r="C772" s="976"/>
      <c r="D772" s="976"/>
      <c r="E772" s="977"/>
      <c r="F772" s="976"/>
      <c r="G772" s="976"/>
      <c r="H772" s="976"/>
      <c r="I772" s="976"/>
      <c r="J772" s="976"/>
      <c r="K772" s="976"/>
      <c r="L772" s="976"/>
      <c r="M772" s="976"/>
      <c r="N772" s="976"/>
      <c r="O772" s="976"/>
      <c r="P772" s="976"/>
      <c r="Q772" s="976"/>
      <c r="R772" s="976"/>
      <c r="S772" s="976"/>
      <c r="T772" s="976"/>
      <c r="U772" s="976"/>
      <c r="V772" s="976"/>
      <c r="W772" s="976"/>
      <c r="X772" s="976"/>
      <c r="Y772" s="976"/>
      <c r="Z772" s="976"/>
      <c r="AA772" s="976"/>
      <c r="AB772" s="976"/>
      <c r="AC772" s="976"/>
      <c r="AD772" s="976"/>
    </row>
    <row r="773" spans="8:8">
      <c r="A773" s="976"/>
      <c r="B773" s="976"/>
      <c r="C773" s="976"/>
      <c r="D773" s="976"/>
      <c r="E773" s="977"/>
      <c r="F773" s="976"/>
      <c r="G773" s="976"/>
      <c r="H773" s="976"/>
      <c r="I773" s="976"/>
      <c r="J773" s="976"/>
      <c r="K773" s="976"/>
      <c r="L773" s="976"/>
      <c r="M773" s="976"/>
      <c r="N773" s="976"/>
      <c r="O773" s="976"/>
      <c r="P773" s="976"/>
      <c r="Q773" s="976"/>
      <c r="R773" s="976"/>
      <c r="S773" s="976"/>
      <c r="T773" s="976"/>
      <c r="U773" s="976"/>
      <c r="V773" s="976"/>
      <c r="W773" s="976"/>
      <c r="X773" s="976"/>
      <c r="Y773" s="976"/>
      <c r="Z773" s="976"/>
      <c r="AA773" s="976"/>
      <c r="AB773" s="976"/>
      <c r="AC773" s="976"/>
      <c r="AD773" s="976"/>
    </row>
    <row r="774" spans="8:8">
      <c r="A774" s="976"/>
      <c r="B774" s="976"/>
      <c r="C774" s="976"/>
      <c r="D774" s="976"/>
      <c r="E774" s="977"/>
      <c r="F774" s="976"/>
      <c r="G774" s="976"/>
      <c r="H774" s="976"/>
      <c r="I774" s="976"/>
      <c r="J774" s="976"/>
      <c r="K774" s="976"/>
      <c r="L774" s="976"/>
      <c r="M774" s="976"/>
      <c r="N774" s="976"/>
      <c r="O774" s="976"/>
      <c r="P774" s="976"/>
      <c r="Q774" s="976"/>
      <c r="R774" s="976"/>
      <c r="S774" s="976"/>
      <c r="T774" s="976"/>
      <c r="U774" s="976"/>
      <c r="V774" s="976"/>
      <c r="W774" s="976"/>
      <c r="X774" s="976"/>
      <c r="Y774" s="976"/>
      <c r="Z774" s="976"/>
      <c r="AA774" s="976"/>
      <c r="AB774" s="976"/>
      <c r="AC774" s="976"/>
      <c r="AD774" s="976"/>
    </row>
    <row r="775" spans="8:8">
      <c r="A775" s="976"/>
      <c r="B775" s="976"/>
      <c r="C775" s="976"/>
      <c r="D775" s="976"/>
      <c r="E775" s="977"/>
      <c r="F775" s="976"/>
      <c r="G775" s="976"/>
      <c r="H775" s="976"/>
      <c r="I775" s="976"/>
      <c r="J775" s="976"/>
      <c r="K775" s="976"/>
      <c r="L775" s="976"/>
      <c r="M775" s="976"/>
      <c r="N775" s="976"/>
      <c r="O775" s="976"/>
      <c r="P775" s="976"/>
      <c r="Q775" s="976"/>
      <c r="R775" s="976"/>
      <c r="S775" s="976"/>
      <c r="T775" s="976"/>
      <c r="U775" s="976"/>
      <c r="V775" s="976"/>
      <c r="W775" s="976"/>
      <c r="X775" s="976"/>
      <c r="Y775" s="976"/>
      <c r="Z775" s="976"/>
      <c r="AA775" s="976"/>
      <c r="AB775" s="976"/>
      <c r="AC775" s="976"/>
      <c r="AD775" s="976"/>
    </row>
    <row r="776" spans="8:8">
      <c r="A776" s="976"/>
      <c r="B776" s="976"/>
      <c r="C776" s="976"/>
      <c r="D776" s="976"/>
      <c r="E776" s="977"/>
      <c r="F776" s="976"/>
      <c r="G776" s="976"/>
      <c r="H776" s="976"/>
      <c r="I776" s="976"/>
      <c r="J776" s="976"/>
      <c r="K776" s="976"/>
      <c r="L776" s="976"/>
      <c r="M776" s="976"/>
      <c r="N776" s="976"/>
      <c r="O776" s="976"/>
      <c r="P776" s="976"/>
      <c r="Q776" s="976"/>
      <c r="R776" s="976"/>
      <c r="S776" s="976"/>
      <c r="T776" s="976"/>
      <c r="U776" s="976"/>
      <c r="V776" s="976"/>
      <c r="W776" s="976"/>
      <c r="X776" s="976"/>
      <c r="Y776" s="976"/>
      <c r="Z776" s="976"/>
      <c r="AA776" s="976"/>
      <c r="AB776" s="976"/>
      <c r="AC776" s="976"/>
      <c r="AD776" s="976"/>
    </row>
    <row r="777" spans="8:8">
      <c r="A777" s="976"/>
      <c r="B777" s="976"/>
      <c r="C777" s="976"/>
      <c r="D777" s="976"/>
      <c r="E777" s="977"/>
      <c r="F777" s="976"/>
      <c r="G777" s="976"/>
      <c r="H777" s="976"/>
      <c r="I777" s="976"/>
      <c r="J777" s="976"/>
      <c r="K777" s="976"/>
      <c r="L777" s="976"/>
      <c r="M777" s="976"/>
      <c r="N777" s="976"/>
      <c r="O777" s="976"/>
      <c r="P777" s="976"/>
      <c r="Q777" s="976"/>
      <c r="R777" s="976"/>
      <c r="S777" s="976"/>
      <c r="T777" s="976"/>
      <c r="U777" s="976"/>
      <c r="V777" s="976"/>
      <c r="W777" s="976"/>
      <c r="X777" s="976"/>
      <c r="Y777" s="976"/>
      <c r="Z777" s="976"/>
      <c r="AA777" s="976"/>
      <c r="AB777" s="976"/>
      <c r="AC777" s="976"/>
      <c r="AD777" s="976"/>
    </row>
    <row r="778" spans="8:8">
      <c r="A778" s="976"/>
      <c r="B778" s="976"/>
      <c r="C778" s="976"/>
      <c r="D778" s="976"/>
      <c r="E778" s="977"/>
      <c r="F778" s="976"/>
      <c r="G778" s="976"/>
      <c r="H778" s="976"/>
      <c r="I778" s="976"/>
      <c r="J778" s="976"/>
      <c r="K778" s="976"/>
      <c r="L778" s="976"/>
      <c r="M778" s="976"/>
      <c r="N778" s="976"/>
      <c r="O778" s="976"/>
      <c r="P778" s="976"/>
      <c r="Q778" s="976"/>
      <c r="R778" s="976"/>
      <c r="S778" s="976"/>
      <c r="T778" s="976"/>
      <c r="U778" s="976"/>
      <c r="V778" s="976"/>
      <c r="W778" s="976"/>
      <c r="X778" s="976"/>
      <c r="Y778" s="976"/>
      <c r="Z778" s="976"/>
      <c r="AA778" s="976"/>
      <c r="AB778" s="976"/>
      <c r="AC778" s="976"/>
      <c r="AD778" s="976"/>
    </row>
    <row r="779" spans="8:8">
      <c r="A779" s="976"/>
      <c r="B779" s="976"/>
      <c r="C779" s="976"/>
      <c r="D779" s="976"/>
      <c r="E779" s="977"/>
      <c r="F779" s="976"/>
      <c r="G779" s="976"/>
      <c r="H779" s="976"/>
      <c r="I779" s="976"/>
      <c r="J779" s="976"/>
      <c r="K779" s="976"/>
      <c r="L779" s="976"/>
      <c r="M779" s="976"/>
      <c r="N779" s="976"/>
      <c r="O779" s="976"/>
      <c r="P779" s="976"/>
      <c r="Q779" s="976"/>
      <c r="R779" s="976"/>
      <c r="S779" s="976"/>
      <c r="T779" s="976"/>
      <c r="U779" s="976"/>
      <c r="V779" s="976"/>
      <c r="W779" s="976"/>
      <c r="X779" s="976"/>
      <c r="Y779" s="976"/>
      <c r="Z779" s="976"/>
      <c r="AA779" s="976"/>
      <c r="AB779" s="976"/>
      <c r="AC779" s="976"/>
      <c r="AD779" s="976"/>
    </row>
    <row r="780" spans="8:8">
      <c r="A780" s="976"/>
      <c r="B780" s="976"/>
      <c r="C780" s="976"/>
      <c r="D780" s="976"/>
      <c r="E780" s="977"/>
      <c r="F780" s="976"/>
      <c r="G780" s="976"/>
      <c r="H780" s="976"/>
      <c r="I780" s="976"/>
      <c r="J780" s="976"/>
      <c r="K780" s="976"/>
      <c r="L780" s="976"/>
      <c r="M780" s="976"/>
      <c r="N780" s="976"/>
      <c r="O780" s="976"/>
      <c r="P780" s="976"/>
      <c r="Q780" s="976"/>
      <c r="R780" s="976"/>
      <c r="S780" s="976"/>
      <c r="T780" s="976"/>
      <c r="U780" s="976"/>
      <c r="V780" s="976"/>
      <c r="W780" s="976"/>
      <c r="X780" s="976"/>
      <c r="Y780" s="976"/>
      <c r="Z780" s="976"/>
      <c r="AA780" s="976"/>
      <c r="AB780" s="976"/>
      <c r="AC780" s="976"/>
      <c r="AD780" s="976"/>
    </row>
    <row r="781" spans="8:8">
      <c r="A781" s="976"/>
      <c r="B781" s="976"/>
      <c r="C781" s="976"/>
      <c r="D781" s="976"/>
      <c r="E781" s="977"/>
      <c r="F781" s="976"/>
      <c r="G781" s="976"/>
      <c r="H781" s="976"/>
      <c r="I781" s="976"/>
      <c r="J781" s="976"/>
      <c r="K781" s="976"/>
      <c r="L781" s="976"/>
      <c r="M781" s="976"/>
      <c r="N781" s="976"/>
      <c r="O781" s="976"/>
      <c r="P781" s="976"/>
      <c r="Q781" s="976"/>
      <c r="R781" s="976"/>
      <c r="S781" s="976"/>
      <c r="T781" s="976"/>
      <c r="U781" s="976"/>
      <c r="V781" s="976"/>
      <c r="W781" s="976"/>
      <c r="X781" s="976"/>
      <c r="Y781" s="976"/>
      <c r="Z781" s="976"/>
      <c r="AA781" s="976"/>
      <c r="AB781" s="976"/>
      <c r="AC781" s="976"/>
      <c r="AD781" s="976"/>
    </row>
    <row r="782" spans="8:8">
      <c r="A782" s="976"/>
      <c r="B782" s="976"/>
      <c r="C782" s="976"/>
      <c r="D782" s="976"/>
      <c r="E782" s="977"/>
      <c r="F782" s="976"/>
      <c r="G782" s="976"/>
      <c r="H782" s="976"/>
      <c r="I782" s="976"/>
      <c r="J782" s="976"/>
      <c r="K782" s="976"/>
      <c r="L782" s="976"/>
      <c r="M782" s="976"/>
      <c r="N782" s="976"/>
      <c r="O782" s="976"/>
      <c r="P782" s="976"/>
      <c r="Q782" s="976"/>
      <c r="R782" s="976"/>
      <c r="S782" s="976"/>
      <c r="T782" s="976"/>
      <c r="U782" s="976"/>
      <c r="V782" s="976"/>
      <c r="W782" s="976"/>
      <c r="X782" s="976"/>
      <c r="Y782" s="976"/>
      <c r="Z782" s="976"/>
      <c r="AA782" s="976"/>
      <c r="AB782" s="976"/>
      <c r="AC782" s="976"/>
      <c r="AD782" s="976"/>
    </row>
    <row r="783" spans="8:8">
      <c r="A783" s="976"/>
      <c r="B783" s="976"/>
      <c r="C783" s="976"/>
      <c r="D783" s="976"/>
      <c r="E783" s="977"/>
      <c r="F783" s="976"/>
      <c r="G783" s="976"/>
      <c r="H783" s="976"/>
      <c r="I783" s="976"/>
      <c r="J783" s="976"/>
      <c r="K783" s="976"/>
      <c r="L783" s="976"/>
      <c r="M783" s="976"/>
      <c r="N783" s="976"/>
      <c r="O783" s="976"/>
      <c r="P783" s="976"/>
      <c r="Q783" s="976"/>
      <c r="R783" s="976"/>
      <c r="S783" s="976"/>
      <c r="T783" s="976"/>
      <c r="U783" s="976"/>
      <c r="V783" s="976"/>
      <c r="W783" s="976"/>
      <c r="X783" s="976"/>
      <c r="Y783" s="976"/>
      <c r="Z783" s="976"/>
      <c r="AA783" s="976"/>
      <c r="AB783" s="976"/>
      <c r="AC783" s="976"/>
      <c r="AD783" s="976"/>
    </row>
    <row r="784" spans="8:8">
      <c r="A784" s="976"/>
      <c r="B784" s="976"/>
      <c r="C784" s="976"/>
      <c r="D784" s="976"/>
      <c r="E784" s="977"/>
      <c r="F784" s="976"/>
      <c r="G784" s="976"/>
      <c r="H784" s="976"/>
      <c r="I784" s="976"/>
      <c r="J784" s="976"/>
      <c r="K784" s="976"/>
      <c r="L784" s="976"/>
      <c r="M784" s="976"/>
      <c r="N784" s="976"/>
      <c r="O784" s="976"/>
      <c r="P784" s="976"/>
      <c r="Q784" s="976"/>
      <c r="R784" s="976"/>
      <c r="S784" s="976"/>
      <c r="T784" s="976"/>
      <c r="U784" s="976"/>
      <c r="V784" s="976"/>
      <c r="W784" s="976"/>
      <c r="X784" s="976"/>
      <c r="Y784" s="976"/>
      <c r="Z784" s="976"/>
      <c r="AA784" s="976"/>
      <c r="AB784" s="976"/>
      <c r="AC784" s="976"/>
      <c r="AD784" s="976"/>
    </row>
    <row r="785" spans="8:8">
      <c r="A785" s="976"/>
      <c r="B785" s="976"/>
      <c r="C785" s="976"/>
      <c r="D785" s="976"/>
      <c r="E785" s="977"/>
      <c r="F785" s="976"/>
      <c r="G785" s="976"/>
      <c r="H785" s="976"/>
      <c r="I785" s="976"/>
      <c r="J785" s="976"/>
      <c r="K785" s="976"/>
      <c r="L785" s="976"/>
      <c r="M785" s="976"/>
      <c r="N785" s="976"/>
      <c r="O785" s="976"/>
      <c r="P785" s="976"/>
      <c r="Q785" s="976"/>
      <c r="R785" s="976"/>
      <c r="S785" s="976"/>
      <c r="T785" s="976"/>
      <c r="U785" s="976"/>
      <c r="V785" s="976"/>
      <c r="W785" s="976"/>
      <c r="X785" s="976"/>
      <c r="Y785" s="976"/>
      <c r="Z785" s="976"/>
      <c r="AA785" s="976"/>
      <c r="AB785" s="976"/>
      <c r="AC785" s="976"/>
      <c r="AD785" s="976"/>
    </row>
    <row r="786" spans="8:8">
      <c r="A786" s="976"/>
      <c r="B786" s="976"/>
      <c r="C786" s="976"/>
      <c r="D786" s="976"/>
      <c r="E786" s="977"/>
      <c r="F786" s="976"/>
      <c r="G786" s="976"/>
      <c r="H786" s="976"/>
      <c r="I786" s="976"/>
      <c r="J786" s="976"/>
      <c r="K786" s="976"/>
      <c r="L786" s="976"/>
      <c r="M786" s="976"/>
      <c r="N786" s="976"/>
      <c r="O786" s="976"/>
      <c r="P786" s="976"/>
      <c r="Q786" s="976"/>
      <c r="R786" s="976"/>
      <c r="S786" s="976"/>
      <c r="T786" s="976"/>
      <c r="U786" s="976"/>
      <c r="V786" s="976"/>
      <c r="W786" s="976"/>
      <c r="X786" s="976"/>
      <c r="Y786" s="976"/>
      <c r="Z786" s="976"/>
      <c r="AA786" s="976"/>
      <c r="AB786" s="976"/>
      <c r="AC786" s="976"/>
      <c r="AD786" s="976"/>
    </row>
    <row r="787" spans="8:8">
      <c r="A787" s="976"/>
      <c r="B787" s="976"/>
      <c r="C787" s="976"/>
      <c r="D787" s="976"/>
      <c r="E787" s="977"/>
      <c r="F787" s="976"/>
      <c r="G787" s="976"/>
      <c r="H787" s="976"/>
      <c r="I787" s="976"/>
      <c r="J787" s="976"/>
      <c r="K787" s="976"/>
      <c r="L787" s="976"/>
      <c r="M787" s="976"/>
      <c r="N787" s="976"/>
      <c r="O787" s="976"/>
      <c r="P787" s="976"/>
      <c r="Q787" s="976"/>
      <c r="R787" s="976"/>
      <c r="S787" s="976"/>
      <c r="T787" s="976"/>
      <c r="U787" s="976"/>
      <c r="V787" s="976"/>
      <c r="W787" s="976"/>
      <c r="X787" s="976"/>
      <c r="Y787" s="976"/>
      <c r="Z787" s="976"/>
      <c r="AA787" s="976"/>
      <c r="AB787" s="976"/>
      <c r="AC787" s="976"/>
      <c r="AD787" s="976"/>
    </row>
    <row r="788" spans="8:8">
      <c r="A788" s="976"/>
      <c r="B788" s="976"/>
      <c r="C788" s="976"/>
      <c r="D788" s="976"/>
      <c r="E788" s="977"/>
      <c r="F788" s="976"/>
      <c r="G788" s="976"/>
      <c r="H788" s="976"/>
      <c r="I788" s="976"/>
      <c r="J788" s="976"/>
      <c r="K788" s="976"/>
      <c r="L788" s="976"/>
      <c r="M788" s="976"/>
      <c r="N788" s="976"/>
      <c r="O788" s="976"/>
      <c r="P788" s="976"/>
      <c r="Q788" s="976"/>
      <c r="R788" s="976"/>
      <c r="S788" s="976"/>
      <c r="T788" s="976"/>
      <c r="U788" s="976"/>
      <c r="V788" s="976"/>
      <c r="W788" s="976"/>
      <c r="X788" s="976"/>
      <c r="Y788" s="976"/>
      <c r="Z788" s="976"/>
      <c r="AA788" s="976"/>
      <c r="AB788" s="976"/>
      <c r="AC788" s="976"/>
      <c r="AD788" s="976"/>
    </row>
    <row r="789" spans="8:8">
      <c r="A789" s="976"/>
      <c r="B789" s="976"/>
      <c r="C789" s="976"/>
      <c r="D789" s="976"/>
      <c r="E789" s="977"/>
      <c r="F789" s="976"/>
      <c r="G789" s="976"/>
      <c r="H789" s="976"/>
      <c r="I789" s="976"/>
      <c r="J789" s="976"/>
      <c r="K789" s="976"/>
      <c r="L789" s="976"/>
      <c r="M789" s="976"/>
      <c r="N789" s="976"/>
      <c r="O789" s="976"/>
      <c r="P789" s="976"/>
      <c r="Q789" s="976"/>
      <c r="R789" s="976"/>
      <c r="S789" s="976"/>
      <c r="T789" s="976"/>
      <c r="U789" s="976"/>
      <c r="V789" s="976"/>
      <c r="W789" s="976"/>
      <c r="X789" s="976"/>
      <c r="Y789" s="976"/>
      <c r="Z789" s="976"/>
      <c r="AA789" s="976"/>
      <c r="AB789" s="976"/>
      <c r="AC789" s="976"/>
      <c r="AD789" s="976"/>
    </row>
    <row r="790" spans="8:8">
      <c r="A790" s="976"/>
      <c r="B790" s="976"/>
      <c r="C790" s="976"/>
      <c r="D790" s="976"/>
      <c r="E790" s="977"/>
      <c r="F790" s="976"/>
      <c r="G790" s="976"/>
      <c r="H790" s="976"/>
      <c r="I790" s="976"/>
      <c r="J790" s="976"/>
      <c r="K790" s="976"/>
      <c r="L790" s="976"/>
      <c r="M790" s="976"/>
      <c r="N790" s="976"/>
      <c r="O790" s="976"/>
      <c r="P790" s="976"/>
      <c r="Q790" s="976"/>
      <c r="R790" s="976"/>
      <c r="S790" s="976"/>
      <c r="T790" s="976"/>
      <c r="U790" s="976"/>
      <c r="V790" s="976"/>
      <c r="W790" s="976"/>
      <c r="X790" s="976"/>
      <c r="Y790" s="976"/>
      <c r="Z790" s="976"/>
      <c r="AA790" s="976"/>
      <c r="AB790" s="976"/>
      <c r="AC790" s="976"/>
      <c r="AD790" s="976"/>
    </row>
    <row r="791" spans="8:8">
      <c r="A791" s="976"/>
      <c r="B791" s="976"/>
      <c r="C791" s="976"/>
      <c r="D791" s="976"/>
      <c r="E791" s="977"/>
      <c r="F791" s="976"/>
      <c r="G791" s="976"/>
      <c r="H791" s="976"/>
      <c r="I791" s="976"/>
      <c r="J791" s="976"/>
      <c r="K791" s="976"/>
      <c r="L791" s="976"/>
      <c r="M791" s="976"/>
      <c r="N791" s="976"/>
      <c r="O791" s="976"/>
      <c r="P791" s="976"/>
      <c r="Q791" s="976"/>
      <c r="R791" s="976"/>
      <c r="S791" s="976"/>
      <c r="T791" s="976"/>
      <c r="U791" s="976"/>
      <c r="V791" s="976"/>
      <c r="W791" s="976"/>
      <c r="X791" s="976"/>
      <c r="Y791" s="976"/>
      <c r="Z791" s="976"/>
      <c r="AA791" s="976"/>
      <c r="AB791" s="976"/>
      <c r="AC791" s="976"/>
      <c r="AD791" s="976"/>
    </row>
    <row r="792" spans="8:8">
      <c r="A792" s="976"/>
      <c r="B792" s="976"/>
      <c r="C792" s="976"/>
      <c r="D792" s="976"/>
      <c r="E792" s="977"/>
      <c r="F792" s="976"/>
      <c r="G792" s="976"/>
      <c r="H792" s="976"/>
      <c r="I792" s="976"/>
      <c r="J792" s="976"/>
      <c r="K792" s="976"/>
      <c r="L792" s="976"/>
      <c r="M792" s="976"/>
      <c r="N792" s="976"/>
      <c r="O792" s="976"/>
      <c r="P792" s="976"/>
      <c r="Q792" s="976"/>
      <c r="R792" s="976"/>
      <c r="S792" s="976"/>
      <c r="T792" s="976"/>
      <c r="U792" s="976"/>
      <c r="V792" s="976"/>
      <c r="W792" s="976"/>
      <c r="X792" s="976"/>
      <c r="Y792" s="976"/>
      <c r="Z792" s="976"/>
      <c r="AA792" s="976"/>
      <c r="AB792" s="976"/>
      <c r="AC792" s="976"/>
      <c r="AD792" s="976"/>
    </row>
    <row r="793" spans="8:8">
      <c r="A793" s="976"/>
      <c r="B793" s="976"/>
      <c r="C793" s="976"/>
      <c r="D793" s="976"/>
      <c r="E793" s="977"/>
      <c r="F793" s="976"/>
      <c r="G793" s="976"/>
      <c r="H793" s="976"/>
      <c r="I793" s="976"/>
      <c r="J793" s="976"/>
      <c r="K793" s="976"/>
      <c r="L793" s="976"/>
      <c r="M793" s="976"/>
      <c r="N793" s="976"/>
      <c r="O793" s="976"/>
      <c r="P793" s="976"/>
      <c r="Q793" s="976"/>
      <c r="R793" s="976"/>
      <c r="S793" s="976"/>
      <c r="T793" s="976"/>
      <c r="U793" s="976"/>
      <c r="V793" s="976"/>
      <c r="W793" s="976"/>
      <c r="X793" s="976"/>
      <c r="Y793" s="976"/>
      <c r="Z793" s="976"/>
      <c r="AA793" s="976"/>
      <c r="AB793" s="976"/>
      <c r="AC793" s="976"/>
      <c r="AD793" s="976"/>
    </row>
    <row r="794" spans="8:8">
      <c r="A794" s="976"/>
      <c r="B794" s="976"/>
      <c r="C794" s="976"/>
      <c r="D794" s="976"/>
      <c r="E794" s="977"/>
      <c r="F794" s="976"/>
      <c r="G794" s="976"/>
      <c r="H794" s="976"/>
      <c r="I794" s="976"/>
      <c r="J794" s="976"/>
      <c r="K794" s="976"/>
      <c r="L794" s="976"/>
      <c r="M794" s="976"/>
      <c r="N794" s="976"/>
      <c r="O794" s="976"/>
      <c r="P794" s="976"/>
      <c r="Q794" s="976"/>
      <c r="R794" s="976"/>
      <c r="S794" s="976"/>
      <c r="T794" s="976"/>
      <c r="U794" s="976"/>
      <c r="V794" s="976"/>
      <c r="W794" s="976"/>
      <c r="X794" s="976"/>
      <c r="Y794" s="976"/>
      <c r="Z794" s="976"/>
      <c r="AA794" s="976"/>
      <c r="AB794" s="976"/>
      <c r="AC794" s="976"/>
      <c r="AD794" s="976"/>
    </row>
    <row r="795" spans="8:8">
      <c r="A795" s="976"/>
      <c r="B795" s="976"/>
      <c r="C795" s="976"/>
      <c r="D795" s="976"/>
      <c r="E795" s="977"/>
      <c r="F795" s="976"/>
      <c r="G795" s="976"/>
      <c r="H795" s="976"/>
      <c r="I795" s="976"/>
      <c r="J795" s="976"/>
      <c r="K795" s="976"/>
      <c r="L795" s="976"/>
      <c r="M795" s="976"/>
      <c r="N795" s="976"/>
      <c r="O795" s="976"/>
      <c r="P795" s="976"/>
      <c r="Q795" s="976"/>
      <c r="R795" s="976"/>
      <c r="S795" s="976"/>
      <c r="T795" s="976"/>
      <c r="U795" s="976"/>
      <c r="V795" s="976"/>
      <c r="W795" s="976"/>
      <c r="X795" s="976"/>
      <c r="Y795" s="976"/>
      <c r="Z795" s="976"/>
      <c r="AA795" s="976"/>
      <c r="AB795" s="976"/>
      <c r="AC795" s="976"/>
      <c r="AD795" s="976"/>
    </row>
    <row r="796" spans="8:8">
      <c r="A796" s="976"/>
      <c r="B796" s="976"/>
      <c r="C796" s="976"/>
      <c r="D796" s="976"/>
      <c r="E796" s="977"/>
      <c r="F796" s="976"/>
      <c r="G796" s="976"/>
      <c r="H796" s="976"/>
      <c r="I796" s="976"/>
      <c r="J796" s="976"/>
      <c r="K796" s="976"/>
      <c r="L796" s="976"/>
      <c r="M796" s="976"/>
      <c r="N796" s="976"/>
      <c r="O796" s="976"/>
      <c r="P796" s="976"/>
      <c r="Q796" s="976"/>
      <c r="R796" s="976"/>
      <c r="S796" s="976"/>
      <c r="T796" s="976"/>
      <c r="U796" s="976"/>
      <c r="V796" s="976"/>
      <c r="W796" s="976"/>
      <c r="X796" s="976"/>
      <c r="Y796" s="976"/>
      <c r="Z796" s="976"/>
      <c r="AA796" s="976"/>
      <c r="AB796" s="976"/>
      <c r="AC796" s="976"/>
      <c r="AD796" s="976"/>
    </row>
    <row r="797" spans="8:8">
      <c r="A797" s="976"/>
      <c r="B797" s="976"/>
      <c r="C797" s="976"/>
      <c r="D797" s="976"/>
      <c r="E797" s="977"/>
      <c r="F797" s="976"/>
      <c r="G797" s="976"/>
      <c r="H797" s="976"/>
      <c r="I797" s="976"/>
      <c r="J797" s="976"/>
      <c r="K797" s="976"/>
      <c r="L797" s="976"/>
      <c r="M797" s="976"/>
      <c r="N797" s="976"/>
      <c r="O797" s="976"/>
      <c r="P797" s="976"/>
      <c r="Q797" s="976"/>
      <c r="R797" s="976"/>
      <c r="S797" s="976"/>
      <c r="T797" s="976"/>
      <c r="U797" s="976"/>
      <c r="V797" s="976"/>
      <c r="W797" s="976"/>
      <c r="X797" s="976"/>
      <c r="Y797" s="976"/>
      <c r="Z797" s="976"/>
      <c r="AA797" s="976"/>
      <c r="AB797" s="976"/>
      <c r="AC797" s="976"/>
      <c r="AD797" s="976"/>
    </row>
    <row r="798" spans="8:8">
      <c r="A798" s="976"/>
      <c r="B798" s="976"/>
      <c r="C798" s="976"/>
      <c r="D798" s="976"/>
      <c r="E798" s="977"/>
      <c r="F798" s="976"/>
      <c r="G798" s="976"/>
      <c r="H798" s="976"/>
      <c r="I798" s="976"/>
      <c r="J798" s="976"/>
      <c r="K798" s="976"/>
      <c r="L798" s="976"/>
      <c r="M798" s="976"/>
      <c r="N798" s="976"/>
      <c r="O798" s="976"/>
      <c r="P798" s="976"/>
      <c r="Q798" s="976"/>
      <c r="R798" s="976"/>
      <c r="S798" s="976"/>
      <c r="T798" s="976"/>
      <c r="U798" s="976"/>
      <c r="V798" s="976"/>
      <c r="W798" s="976"/>
      <c r="X798" s="976"/>
      <c r="Y798" s="976"/>
      <c r="Z798" s="976"/>
      <c r="AA798" s="976"/>
      <c r="AB798" s="976"/>
      <c r="AC798" s="976"/>
      <c r="AD798" s="976"/>
    </row>
    <row r="799" spans="8:8">
      <c r="A799" s="976"/>
      <c r="B799" s="976"/>
      <c r="C799" s="976"/>
      <c r="D799" s="976"/>
      <c r="E799" s="977"/>
      <c r="F799" s="976"/>
      <c r="G799" s="976"/>
      <c r="H799" s="976"/>
      <c r="I799" s="976"/>
      <c r="J799" s="976"/>
      <c r="K799" s="976"/>
      <c r="L799" s="976"/>
      <c r="M799" s="976"/>
      <c r="N799" s="976"/>
      <c r="O799" s="976"/>
      <c r="P799" s="976"/>
      <c r="Q799" s="976"/>
      <c r="R799" s="976"/>
      <c r="S799" s="976"/>
      <c r="T799" s="976"/>
      <c r="U799" s="976"/>
      <c r="V799" s="976"/>
      <c r="W799" s="976"/>
      <c r="X799" s="976"/>
      <c r="Y799" s="976"/>
      <c r="Z799" s="976"/>
      <c r="AA799" s="976"/>
      <c r="AB799" s="976"/>
      <c r="AC799" s="976"/>
      <c r="AD799" s="976"/>
    </row>
    <row r="800" spans="8:8">
      <c r="A800" s="976"/>
      <c r="B800" s="976"/>
      <c r="C800" s="976"/>
      <c r="D800" s="976"/>
      <c r="E800" s="977"/>
      <c r="F800" s="976"/>
      <c r="G800" s="976"/>
      <c r="H800" s="976"/>
      <c r="I800" s="976"/>
      <c r="J800" s="976"/>
      <c r="K800" s="976"/>
      <c r="L800" s="976"/>
      <c r="M800" s="976"/>
      <c r="N800" s="976"/>
      <c r="O800" s="976"/>
      <c r="P800" s="976"/>
      <c r="Q800" s="976"/>
      <c r="R800" s="976"/>
      <c r="S800" s="976"/>
      <c r="T800" s="976"/>
      <c r="U800" s="976"/>
      <c r="V800" s="976"/>
      <c r="W800" s="976"/>
      <c r="X800" s="976"/>
      <c r="Y800" s="976"/>
      <c r="Z800" s="976"/>
      <c r="AA800" s="976"/>
      <c r="AB800" s="976"/>
      <c r="AC800" s="976"/>
      <c r="AD800" s="976"/>
    </row>
    <row r="801" spans="8:8">
      <c r="A801" s="976"/>
      <c r="B801" s="976"/>
      <c r="C801" s="976"/>
      <c r="D801" s="976"/>
      <c r="E801" s="977"/>
      <c r="F801" s="976"/>
      <c r="G801" s="976"/>
      <c r="H801" s="976"/>
      <c r="I801" s="976"/>
      <c r="J801" s="976"/>
      <c r="K801" s="976"/>
      <c r="L801" s="976"/>
      <c r="M801" s="976"/>
      <c r="N801" s="976"/>
      <c r="O801" s="976"/>
      <c r="P801" s="976"/>
      <c r="Q801" s="976"/>
      <c r="R801" s="976"/>
      <c r="S801" s="976"/>
      <c r="T801" s="976"/>
      <c r="U801" s="976"/>
      <c r="V801" s="976"/>
      <c r="W801" s="976"/>
      <c r="X801" s="976"/>
      <c r="Y801" s="976"/>
      <c r="Z801" s="976"/>
      <c r="AA801" s="976"/>
      <c r="AB801" s="976"/>
      <c r="AC801" s="976"/>
      <c r="AD801" s="976"/>
    </row>
    <row r="802" spans="8:8">
      <c r="A802" s="976"/>
      <c r="B802" s="976"/>
      <c r="C802" s="976"/>
      <c r="D802" s="976"/>
      <c r="E802" s="977"/>
      <c r="F802" s="976"/>
      <c r="G802" s="976"/>
      <c r="H802" s="976"/>
      <c r="I802" s="976"/>
      <c r="J802" s="976"/>
      <c r="K802" s="976"/>
      <c r="L802" s="976"/>
      <c r="M802" s="976"/>
      <c r="N802" s="976"/>
      <c r="O802" s="976"/>
      <c r="P802" s="976"/>
      <c r="Q802" s="976"/>
      <c r="R802" s="976"/>
      <c r="S802" s="976"/>
      <c r="T802" s="976"/>
      <c r="U802" s="976"/>
      <c r="V802" s="976"/>
      <c r="W802" s="976"/>
      <c r="X802" s="976"/>
      <c r="Y802" s="976"/>
      <c r="Z802" s="976"/>
      <c r="AA802" s="976"/>
      <c r="AB802" s="976"/>
      <c r="AC802" s="976"/>
      <c r="AD802" s="976"/>
    </row>
    <row r="803" spans="8:8">
      <c r="A803" s="976"/>
      <c r="B803" s="976"/>
      <c r="C803" s="976"/>
      <c r="D803" s="976"/>
      <c r="E803" s="977"/>
      <c r="F803" s="976"/>
      <c r="G803" s="976"/>
      <c r="H803" s="976"/>
      <c r="I803" s="976"/>
      <c r="J803" s="976"/>
      <c r="K803" s="976"/>
      <c r="L803" s="976"/>
      <c r="M803" s="976"/>
      <c r="N803" s="976"/>
      <c r="O803" s="976"/>
      <c r="P803" s="976"/>
      <c r="Q803" s="976"/>
      <c r="R803" s="976"/>
      <c r="S803" s="976"/>
      <c r="T803" s="976"/>
      <c r="U803" s="976"/>
      <c r="V803" s="976"/>
      <c r="W803" s="976"/>
      <c r="X803" s="976"/>
      <c r="Y803" s="976"/>
      <c r="Z803" s="976"/>
      <c r="AA803" s="976"/>
      <c r="AB803" s="976"/>
      <c r="AC803" s="976"/>
      <c r="AD803" s="976"/>
    </row>
    <row r="804" spans="8:8">
      <c r="A804" s="976"/>
      <c r="B804" s="976"/>
      <c r="C804" s="976"/>
      <c r="D804" s="976"/>
      <c r="E804" s="977"/>
      <c r="F804" s="976"/>
      <c r="G804" s="976"/>
      <c r="H804" s="976"/>
      <c r="I804" s="976"/>
      <c r="J804" s="976"/>
      <c r="K804" s="976"/>
      <c r="L804" s="976"/>
      <c r="M804" s="976"/>
      <c r="N804" s="976"/>
      <c r="O804" s="976"/>
      <c r="P804" s="976"/>
      <c r="Q804" s="976"/>
      <c r="R804" s="976"/>
      <c r="S804" s="976"/>
      <c r="T804" s="976"/>
      <c r="U804" s="976"/>
      <c r="V804" s="976"/>
      <c r="W804" s="976"/>
      <c r="X804" s="976"/>
      <c r="Y804" s="976"/>
      <c r="Z804" s="976"/>
      <c r="AA804" s="976"/>
      <c r="AB804" s="976"/>
      <c r="AC804" s="976"/>
      <c r="AD804" s="976"/>
    </row>
    <row r="805" spans="8:8">
      <c r="A805" s="976"/>
      <c r="B805" s="976"/>
      <c r="C805" s="976"/>
      <c r="D805" s="976"/>
      <c r="E805" s="977"/>
      <c r="F805" s="976"/>
      <c r="G805" s="976"/>
      <c r="H805" s="976"/>
      <c r="I805" s="976"/>
      <c r="J805" s="976"/>
      <c r="K805" s="976"/>
      <c r="L805" s="976"/>
      <c r="M805" s="976"/>
      <c r="N805" s="976"/>
      <c r="O805" s="976"/>
      <c r="P805" s="976"/>
      <c r="Q805" s="976"/>
      <c r="R805" s="976"/>
      <c r="S805" s="976"/>
      <c r="T805" s="976"/>
      <c r="U805" s="976"/>
      <c r="V805" s="976"/>
      <c r="W805" s="976"/>
      <c r="X805" s="976"/>
      <c r="Y805" s="976"/>
      <c r="Z805" s="976"/>
      <c r="AA805" s="976"/>
      <c r="AB805" s="976"/>
      <c r="AC805" s="976"/>
      <c r="AD805" s="976"/>
    </row>
    <row r="806" spans="8:8">
      <c r="A806" s="976"/>
      <c r="B806" s="976"/>
      <c r="C806" s="976"/>
      <c r="D806" s="976"/>
      <c r="E806" s="977"/>
      <c r="F806" s="976"/>
      <c r="G806" s="976"/>
      <c r="H806" s="976"/>
      <c r="I806" s="976"/>
      <c r="J806" s="976"/>
      <c r="K806" s="976"/>
      <c r="L806" s="976"/>
      <c r="M806" s="976"/>
      <c r="N806" s="976"/>
      <c r="O806" s="976"/>
      <c r="P806" s="976"/>
      <c r="Q806" s="976"/>
      <c r="R806" s="976"/>
      <c r="S806" s="976"/>
      <c r="T806" s="976"/>
      <c r="U806" s="976"/>
      <c r="V806" s="976"/>
      <c r="W806" s="976"/>
      <c r="X806" s="976"/>
      <c r="Y806" s="976"/>
      <c r="Z806" s="976"/>
      <c r="AA806" s="976"/>
      <c r="AB806" s="976"/>
      <c r="AC806" s="976"/>
      <c r="AD806" s="976"/>
    </row>
    <row r="807" spans="8:8">
      <c r="A807" s="976"/>
      <c r="B807" s="976"/>
      <c r="C807" s="976"/>
      <c r="D807" s="976"/>
      <c r="E807" s="977"/>
      <c r="F807" s="976"/>
      <c r="G807" s="976"/>
      <c r="H807" s="976"/>
      <c r="I807" s="976"/>
      <c r="J807" s="976"/>
      <c r="K807" s="976"/>
      <c r="L807" s="976"/>
      <c r="M807" s="976"/>
      <c r="N807" s="976"/>
      <c r="O807" s="976"/>
      <c r="P807" s="976"/>
      <c r="Q807" s="976"/>
      <c r="R807" s="976"/>
      <c r="S807" s="976"/>
      <c r="T807" s="976"/>
      <c r="U807" s="976"/>
      <c r="V807" s="976"/>
      <c r="W807" s="976"/>
      <c r="X807" s="976"/>
      <c r="Y807" s="976"/>
      <c r="Z807" s="976"/>
      <c r="AA807" s="976"/>
      <c r="AB807" s="976"/>
      <c r="AC807" s="976"/>
      <c r="AD807" s="976"/>
    </row>
    <row r="808" spans="8:8">
      <c r="A808" s="976"/>
      <c r="B808" s="976"/>
      <c r="C808" s="976"/>
      <c r="D808" s="976"/>
      <c r="E808" s="977"/>
      <c r="F808" s="976"/>
      <c r="G808" s="976"/>
      <c r="H808" s="976"/>
      <c r="I808" s="976"/>
      <c r="J808" s="976"/>
      <c r="K808" s="976"/>
      <c r="L808" s="976"/>
      <c r="M808" s="976"/>
      <c r="N808" s="976"/>
      <c r="O808" s="976"/>
      <c r="P808" s="976"/>
      <c r="Q808" s="976"/>
      <c r="R808" s="976"/>
      <c r="S808" s="976"/>
      <c r="T808" s="976"/>
      <c r="U808" s="976"/>
      <c r="V808" s="976"/>
      <c r="W808" s="976"/>
      <c r="X808" s="976"/>
      <c r="Y808" s="976"/>
      <c r="Z808" s="976"/>
      <c r="AA808" s="976"/>
      <c r="AB808" s="976"/>
      <c r="AC808" s="976"/>
      <c r="AD808" s="976"/>
    </row>
    <row r="809" spans="8:8">
      <c r="A809" s="976"/>
      <c r="B809" s="976"/>
      <c r="C809" s="976"/>
      <c r="D809" s="976"/>
      <c r="E809" s="977"/>
      <c r="F809" s="976"/>
      <c r="G809" s="976"/>
      <c r="H809" s="976"/>
      <c r="I809" s="976"/>
      <c r="J809" s="976"/>
      <c r="K809" s="976"/>
      <c r="L809" s="976"/>
      <c r="M809" s="976"/>
      <c r="N809" s="976"/>
      <c r="O809" s="976"/>
      <c r="P809" s="976"/>
      <c r="Q809" s="976"/>
      <c r="R809" s="976"/>
      <c r="S809" s="976"/>
      <c r="T809" s="976"/>
      <c r="U809" s="976"/>
      <c r="V809" s="976"/>
      <c r="W809" s="976"/>
      <c r="X809" s="976"/>
      <c r="Y809" s="976"/>
      <c r="Z809" s="976"/>
      <c r="AA809" s="976"/>
      <c r="AB809" s="976"/>
      <c r="AC809" s="976"/>
      <c r="AD809" s="976"/>
    </row>
    <row r="810" spans="8:8">
      <c r="A810" s="976"/>
      <c r="B810" s="976"/>
      <c r="C810" s="976"/>
      <c r="D810" s="976"/>
      <c r="E810" s="977"/>
      <c r="F810" s="976"/>
      <c r="G810" s="976"/>
      <c r="H810" s="976"/>
      <c r="I810" s="976"/>
      <c r="J810" s="976"/>
      <c r="K810" s="976"/>
      <c r="L810" s="976"/>
      <c r="M810" s="976"/>
      <c r="N810" s="976"/>
      <c r="O810" s="976"/>
      <c r="P810" s="976"/>
      <c r="Q810" s="976"/>
      <c r="R810" s="976"/>
      <c r="S810" s="976"/>
      <c r="T810" s="976"/>
      <c r="U810" s="976"/>
      <c r="V810" s="976"/>
      <c r="W810" s="976"/>
      <c r="X810" s="976"/>
      <c r="Y810" s="976"/>
      <c r="Z810" s="976"/>
      <c r="AA810" s="976"/>
      <c r="AB810" s="976"/>
      <c r="AC810" s="976"/>
      <c r="AD810" s="976"/>
    </row>
    <row r="811" spans="8:8">
      <c r="A811" s="976"/>
      <c r="B811" s="976"/>
      <c r="C811" s="976"/>
      <c r="D811" s="976"/>
      <c r="E811" s="977"/>
      <c r="F811" s="976"/>
      <c r="G811" s="976"/>
      <c r="H811" s="976"/>
      <c r="I811" s="976"/>
      <c r="J811" s="976"/>
      <c r="K811" s="976"/>
      <c r="L811" s="976"/>
      <c r="M811" s="976"/>
      <c r="N811" s="976"/>
      <c r="O811" s="976"/>
      <c r="P811" s="976"/>
      <c r="Q811" s="976"/>
      <c r="R811" s="976"/>
      <c r="S811" s="976"/>
      <c r="T811" s="976"/>
      <c r="U811" s="976"/>
      <c r="V811" s="976"/>
      <c r="W811" s="976"/>
      <c r="X811" s="976"/>
      <c r="Y811" s="976"/>
      <c r="Z811" s="976"/>
      <c r="AA811" s="976"/>
      <c r="AB811" s="976"/>
      <c r="AC811" s="976"/>
      <c r="AD811" s="976"/>
    </row>
    <row r="812" spans="8:8">
      <c r="A812" s="976"/>
      <c r="B812" s="976"/>
      <c r="C812" s="976"/>
      <c r="D812" s="976"/>
      <c r="E812" s="977"/>
      <c r="F812" s="976"/>
      <c r="G812" s="976"/>
      <c r="H812" s="976"/>
      <c r="I812" s="976"/>
      <c r="J812" s="976"/>
      <c r="K812" s="976"/>
      <c r="L812" s="976"/>
      <c r="M812" s="976"/>
      <c r="N812" s="976"/>
      <c r="O812" s="976"/>
      <c r="P812" s="976"/>
      <c r="Q812" s="976"/>
      <c r="R812" s="976"/>
      <c r="S812" s="976"/>
      <c r="T812" s="976"/>
      <c r="U812" s="976"/>
      <c r="V812" s="976"/>
      <c r="W812" s="976"/>
      <c r="X812" s="976"/>
      <c r="Y812" s="976"/>
      <c r="Z812" s="976"/>
      <c r="AA812" s="976"/>
      <c r="AB812" s="976"/>
      <c r="AC812" s="976"/>
      <c r="AD812" s="976"/>
    </row>
    <row r="813" spans="8:8">
      <c r="A813" s="976"/>
      <c r="B813" s="976"/>
      <c r="C813" s="976"/>
      <c r="D813" s="976"/>
      <c r="E813" s="977"/>
      <c r="F813" s="976"/>
      <c r="G813" s="976"/>
      <c r="H813" s="976"/>
      <c r="I813" s="976"/>
      <c r="J813" s="976"/>
      <c r="K813" s="976"/>
      <c r="L813" s="976"/>
      <c r="M813" s="976"/>
      <c r="N813" s="976"/>
      <c r="O813" s="976"/>
      <c r="P813" s="976"/>
      <c r="Q813" s="976"/>
      <c r="R813" s="976"/>
      <c r="S813" s="976"/>
      <c r="T813" s="976"/>
      <c r="U813" s="976"/>
      <c r="V813" s="976"/>
      <c r="W813" s="976"/>
      <c r="X813" s="976"/>
      <c r="Y813" s="976"/>
      <c r="Z813" s="976"/>
      <c r="AA813" s="976"/>
      <c r="AB813" s="976"/>
      <c r="AC813" s="976"/>
      <c r="AD813" s="976"/>
    </row>
    <row r="814" spans="8:8">
      <c r="A814" s="976"/>
      <c r="B814" s="976"/>
      <c r="C814" s="976"/>
      <c r="D814" s="976"/>
      <c r="E814" s="977"/>
      <c r="F814" s="976"/>
      <c r="G814" s="976"/>
      <c r="H814" s="976"/>
      <c r="I814" s="976"/>
      <c r="J814" s="976"/>
      <c r="K814" s="976"/>
      <c r="L814" s="976"/>
      <c r="M814" s="976"/>
      <c r="N814" s="976"/>
      <c r="O814" s="976"/>
      <c r="P814" s="976"/>
      <c r="Q814" s="976"/>
      <c r="R814" s="976"/>
      <c r="S814" s="976"/>
      <c r="T814" s="976"/>
      <c r="U814" s="976"/>
      <c r="V814" s="976"/>
      <c r="W814" s="976"/>
      <c r="X814" s="976"/>
      <c r="Y814" s="976"/>
      <c r="Z814" s="976"/>
      <c r="AA814" s="976"/>
      <c r="AB814" s="976"/>
      <c r="AC814" s="976"/>
      <c r="AD814" s="976"/>
    </row>
    <row r="815" spans="8:8">
      <c r="A815" s="976"/>
      <c r="B815" s="976"/>
      <c r="C815" s="976"/>
      <c r="D815" s="976"/>
      <c r="E815" s="977"/>
      <c r="F815" s="976"/>
      <c r="G815" s="976"/>
      <c r="H815" s="976"/>
      <c r="I815" s="976"/>
      <c r="J815" s="976"/>
      <c r="K815" s="976"/>
      <c r="L815" s="976"/>
      <c r="M815" s="976"/>
      <c r="N815" s="976"/>
      <c r="O815" s="976"/>
      <c r="P815" s="976"/>
      <c r="Q815" s="976"/>
      <c r="R815" s="976"/>
      <c r="S815" s="976"/>
      <c r="T815" s="976"/>
      <c r="U815" s="976"/>
      <c r="V815" s="976"/>
      <c r="W815" s="976"/>
      <c r="X815" s="976"/>
      <c r="Y815" s="976"/>
      <c r="Z815" s="976"/>
      <c r="AA815" s="976"/>
      <c r="AB815" s="976"/>
      <c r="AC815" s="976"/>
      <c r="AD815" s="976"/>
    </row>
    <row r="816" spans="8:8">
      <c r="A816" s="976"/>
      <c r="B816" s="976"/>
      <c r="C816" s="976"/>
      <c r="D816" s="976"/>
      <c r="E816" s="977"/>
      <c r="F816" s="976"/>
      <c r="G816" s="976"/>
      <c r="H816" s="976"/>
      <c r="I816" s="976"/>
      <c r="J816" s="976"/>
      <c r="K816" s="976"/>
      <c r="L816" s="976"/>
      <c r="M816" s="976"/>
      <c r="N816" s="976"/>
      <c r="O816" s="976"/>
      <c r="P816" s="976"/>
      <c r="Q816" s="976"/>
      <c r="R816" s="976"/>
      <c r="S816" s="976"/>
      <c r="T816" s="976"/>
      <c r="U816" s="976"/>
      <c r="V816" s="976"/>
      <c r="W816" s="976"/>
      <c r="X816" s="976"/>
      <c r="Y816" s="976"/>
      <c r="Z816" s="976"/>
      <c r="AA816" s="976"/>
      <c r="AB816" s="976"/>
      <c r="AC816" s="976"/>
      <c r="AD816" s="976"/>
    </row>
    <row r="817" spans="8:8">
      <c r="A817" s="976"/>
      <c r="B817" s="976"/>
      <c r="C817" s="976"/>
      <c r="D817" s="976"/>
      <c r="E817" s="977"/>
      <c r="F817" s="976"/>
      <c r="G817" s="976"/>
      <c r="H817" s="976"/>
      <c r="I817" s="976"/>
      <c r="J817" s="976"/>
      <c r="K817" s="976"/>
      <c r="L817" s="976"/>
      <c r="M817" s="976"/>
      <c r="N817" s="976"/>
      <c r="O817" s="976"/>
      <c r="P817" s="976"/>
      <c r="Q817" s="976"/>
      <c r="R817" s="976"/>
      <c r="S817" s="976"/>
      <c r="T817" s="976"/>
      <c r="U817" s="976"/>
      <c r="V817" s="976"/>
      <c r="W817" s="976"/>
      <c r="X817" s="976"/>
      <c r="Y817" s="976"/>
      <c r="Z817" s="976"/>
      <c r="AA817" s="976"/>
      <c r="AB817" s="976"/>
      <c r="AC817" s="976"/>
      <c r="AD817" s="976"/>
    </row>
    <row r="818" spans="8:8">
      <c r="A818" s="976"/>
      <c r="B818" s="976"/>
      <c r="C818" s="976"/>
      <c r="D818" s="976"/>
      <c r="E818" s="977"/>
      <c r="F818" s="976"/>
      <c r="G818" s="976"/>
      <c r="H818" s="976"/>
      <c r="I818" s="976"/>
      <c r="J818" s="976"/>
      <c r="K818" s="976"/>
      <c r="L818" s="976"/>
      <c r="M818" s="976"/>
      <c r="N818" s="976"/>
      <c r="O818" s="976"/>
      <c r="P818" s="976"/>
      <c r="Q818" s="976"/>
      <c r="R818" s="976"/>
      <c r="S818" s="976"/>
      <c r="T818" s="976"/>
      <c r="U818" s="976"/>
      <c r="V818" s="976"/>
      <c r="W818" s="976"/>
      <c r="X818" s="976"/>
      <c r="Y818" s="976"/>
      <c r="Z818" s="976"/>
      <c r="AA818" s="976"/>
      <c r="AB818" s="976"/>
      <c r="AC818" s="976"/>
      <c r="AD818" s="976"/>
    </row>
    <row r="819" spans="8:8">
      <c r="A819" s="976"/>
      <c r="B819" s="976"/>
      <c r="C819" s="976"/>
      <c r="D819" s="976"/>
      <c r="E819" s="977"/>
      <c r="F819" s="976"/>
      <c r="G819" s="976"/>
      <c r="H819" s="976"/>
      <c r="I819" s="976"/>
      <c r="J819" s="976"/>
      <c r="K819" s="976"/>
      <c r="L819" s="976"/>
      <c r="M819" s="976"/>
      <c r="N819" s="976"/>
      <c r="O819" s="976"/>
      <c r="P819" s="976"/>
      <c r="Q819" s="976"/>
      <c r="R819" s="976"/>
      <c r="S819" s="976"/>
      <c r="T819" s="976"/>
      <c r="U819" s="976"/>
      <c r="V819" s="976"/>
      <c r="W819" s="976"/>
      <c r="X819" s="976"/>
      <c r="Y819" s="976"/>
      <c r="Z819" s="976"/>
      <c r="AA819" s="976"/>
      <c r="AB819" s="976"/>
      <c r="AC819" s="976"/>
      <c r="AD819" s="976"/>
    </row>
    <row r="820" spans="8:8">
      <c r="A820" s="976"/>
      <c r="B820" s="976"/>
      <c r="C820" s="976"/>
      <c r="D820" s="976"/>
      <c r="E820" s="977"/>
      <c r="F820" s="976"/>
      <c r="G820" s="976"/>
      <c r="H820" s="976"/>
      <c r="I820" s="976"/>
      <c r="J820" s="976"/>
      <c r="K820" s="976"/>
      <c r="L820" s="976"/>
      <c r="M820" s="976"/>
      <c r="N820" s="976"/>
      <c r="O820" s="976"/>
      <c r="P820" s="976"/>
      <c r="Q820" s="976"/>
      <c r="R820" s="976"/>
      <c r="S820" s="976"/>
      <c r="T820" s="976"/>
      <c r="U820" s="976"/>
      <c r="V820" s="976"/>
      <c r="W820" s="976"/>
      <c r="X820" s="976"/>
      <c r="Y820" s="976"/>
      <c r="Z820" s="976"/>
      <c r="AA820" s="976"/>
      <c r="AB820" s="976"/>
      <c r="AC820" s="976"/>
      <c r="AD820" s="976"/>
    </row>
    <row r="821" spans="8:8">
      <c r="A821" s="976"/>
      <c r="B821" s="976"/>
      <c r="C821" s="976"/>
      <c r="D821" s="976"/>
      <c r="E821" s="977"/>
      <c r="F821" s="976"/>
      <c r="G821" s="976"/>
      <c r="H821" s="976"/>
      <c r="I821" s="976"/>
      <c r="J821" s="976"/>
      <c r="K821" s="976"/>
      <c r="L821" s="976"/>
      <c r="M821" s="976"/>
      <c r="N821" s="976"/>
      <c r="O821" s="976"/>
      <c r="P821" s="976"/>
      <c r="Q821" s="976"/>
      <c r="R821" s="976"/>
      <c r="S821" s="976"/>
      <c r="T821" s="976"/>
      <c r="U821" s="976"/>
      <c r="V821" s="976"/>
      <c r="W821" s="976"/>
      <c r="X821" s="976"/>
      <c r="Y821" s="976"/>
      <c r="Z821" s="976"/>
      <c r="AA821" s="976"/>
      <c r="AB821" s="976"/>
      <c r="AC821" s="976"/>
      <c r="AD821" s="976"/>
    </row>
    <row r="822" spans="8:8">
      <c r="A822" s="976"/>
      <c r="B822" s="976"/>
      <c r="C822" s="976"/>
      <c r="D822" s="976"/>
      <c r="E822" s="977"/>
      <c r="F822" s="976"/>
      <c r="G822" s="976"/>
      <c r="H822" s="976"/>
      <c r="I822" s="976"/>
      <c r="J822" s="976"/>
      <c r="K822" s="976"/>
      <c r="L822" s="976"/>
      <c r="M822" s="976"/>
      <c r="N822" s="976"/>
      <c r="O822" s="976"/>
      <c r="P822" s="976"/>
      <c r="Q822" s="976"/>
      <c r="R822" s="976"/>
      <c r="S822" s="976"/>
      <c r="T822" s="976"/>
      <c r="U822" s="976"/>
      <c r="V822" s="976"/>
      <c r="W822" s="976"/>
      <c r="X822" s="976"/>
      <c r="Y822" s="976"/>
      <c r="Z822" s="976"/>
      <c r="AA822" s="976"/>
      <c r="AB822" s="976"/>
      <c r="AC822" s="976"/>
      <c r="AD822" s="976"/>
    </row>
    <row r="823" spans="8:8">
      <c r="A823" s="976"/>
      <c r="B823" s="976"/>
      <c r="C823" s="976"/>
      <c r="D823" s="976"/>
      <c r="E823" s="977"/>
      <c r="F823" s="976"/>
      <c r="G823" s="976"/>
      <c r="H823" s="976"/>
      <c r="I823" s="976"/>
      <c r="J823" s="976"/>
      <c r="K823" s="976"/>
      <c r="L823" s="976"/>
      <c r="M823" s="976"/>
      <c r="N823" s="976"/>
      <c r="O823" s="976"/>
      <c r="P823" s="976"/>
      <c r="Q823" s="976"/>
      <c r="R823" s="976"/>
      <c r="S823" s="976"/>
      <c r="T823" s="976"/>
      <c r="U823" s="976"/>
      <c r="V823" s="976"/>
      <c r="W823" s="976"/>
      <c r="X823" s="976"/>
      <c r="Y823" s="976"/>
      <c r="Z823" s="976"/>
      <c r="AA823" s="976"/>
      <c r="AB823" s="976"/>
      <c r="AC823" s="976"/>
      <c r="AD823" s="976"/>
    </row>
    <row r="824" spans="8:8">
      <c r="A824" s="976"/>
      <c r="B824" s="976"/>
      <c r="C824" s="976"/>
      <c r="D824" s="976"/>
      <c r="E824" s="977"/>
      <c r="F824" s="976"/>
      <c r="G824" s="976"/>
      <c r="H824" s="976"/>
      <c r="I824" s="976"/>
      <c r="J824" s="976"/>
      <c r="K824" s="976"/>
      <c r="L824" s="976"/>
      <c r="M824" s="976"/>
      <c r="N824" s="976"/>
      <c r="O824" s="976"/>
      <c r="P824" s="976"/>
      <c r="Q824" s="976"/>
      <c r="R824" s="976"/>
      <c r="S824" s="976"/>
      <c r="T824" s="976"/>
      <c r="U824" s="976"/>
      <c r="V824" s="976"/>
      <c r="W824" s="976"/>
      <c r="X824" s="976"/>
      <c r="Y824" s="976"/>
      <c r="Z824" s="976"/>
      <c r="AA824" s="976"/>
      <c r="AB824" s="976"/>
      <c r="AC824" s="976"/>
      <c r="AD824" s="976"/>
    </row>
    <row r="825" spans="8:8">
      <c r="A825" s="976"/>
      <c r="B825" s="976"/>
      <c r="C825" s="976"/>
      <c r="D825" s="976"/>
      <c r="E825" s="977"/>
      <c r="F825" s="976"/>
      <c r="G825" s="976"/>
      <c r="H825" s="976"/>
      <c r="I825" s="976"/>
      <c r="J825" s="976"/>
      <c r="K825" s="976"/>
      <c r="L825" s="976"/>
      <c r="M825" s="976"/>
      <c r="N825" s="976"/>
      <c r="O825" s="976"/>
      <c r="P825" s="976"/>
      <c r="Q825" s="976"/>
      <c r="R825" s="976"/>
      <c r="S825" s="976"/>
      <c r="T825" s="976"/>
      <c r="U825" s="976"/>
      <c r="V825" s="976"/>
      <c r="W825" s="976"/>
      <c r="X825" s="976"/>
      <c r="Y825" s="976"/>
      <c r="Z825" s="976"/>
      <c r="AA825" s="976"/>
      <c r="AB825" s="976"/>
      <c r="AC825" s="976"/>
      <c r="AD825" s="976"/>
    </row>
    <row r="826" spans="8:8">
      <c r="A826" s="976"/>
      <c r="B826" s="976"/>
      <c r="C826" s="976"/>
      <c r="D826" s="976"/>
      <c r="E826" s="977"/>
      <c r="F826" s="976"/>
      <c r="G826" s="976"/>
      <c r="H826" s="976"/>
      <c r="I826" s="976"/>
      <c r="J826" s="976"/>
      <c r="K826" s="976"/>
      <c r="L826" s="976"/>
      <c r="M826" s="976"/>
      <c r="N826" s="976"/>
      <c r="O826" s="976"/>
      <c r="P826" s="976"/>
      <c r="Q826" s="976"/>
      <c r="R826" s="976"/>
      <c r="S826" s="976"/>
      <c r="T826" s="976"/>
      <c r="U826" s="976"/>
      <c r="V826" s="976"/>
      <c r="W826" s="976"/>
      <c r="X826" s="976"/>
      <c r="Y826" s="976"/>
      <c r="Z826" s="976"/>
      <c r="AA826" s="976"/>
      <c r="AB826" s="976"/>
      <c r="AC826" s="976"/>
      <c r="AD826" s="976"/>
    </row>
    <row r="827" spans="8:8">
      <c r="A827" s="976"/>
      <c r="B827" s="976"/>
      <c r="C827" s="976"/>
      <c r="D827" s="976"/>
      <c r="E827" s="977"/>
      <c r="F827" s="976"/>
      <c r="G827" s="976"/>
      <c r="H827" s="976"/>
      <c r="I827" s="976"/>
      <c r="J827" s="976"/>
      <c r="K827" s="976"/>
      <c r="L827" s="976"/>
      <c r="M827" s="976"/>
      <c r="N827" s="976"/>
      <c r="O827" s="976"/>
      <c r="P827" s="976"/>
      <c r="Q827" s="976"/>
      <c r="R827" s="976"/>
      <c r="S827" s="976"/>
      <c r="T827" s="976"/>
      <c r="U827" s="976"/>
      <c r="V827" s="976"/>
      <c r="W827" s="976"/>
      <c r="X827" s="976"/>
      <c r="Y827" s="976"/>
      <c r="Z827" s="976"/>
      <c r="AA827" s="976"/>
      <c r="AB827" s="976"/>
      <c r="AC827" s="976"/>
      <c r="AD827" s="976"/>
    </row>
    <row r="828" spans="8:8">
      <c r="A828" s="976"/>
      <c r="B828" s="976"/>
      <c r="C828" s="976"/>
      <c r="D828" s="976"/>
      <c r="E828" s="977"/>
      <c r="F828" s="976"/>
      <c r="G828" s="976"/>
      <c r="H828" s="976"/>
      <c r="I828" s="976"/>
      <c r="J828" s="976"/>
      <c r="K828" s="976"/>
      <c r="L828" s="976"/>
      <c r="M828" s="976"/>
      <c r="N828" s="976"/>
      <c r="O828" s="976"/>
      <c r="P828" s="976"/>
      <c r="Q828" s="976"/>
      <c r="R828" s="976"/>
      <c r="S828" s="976"/>
      <c r="T828" s="976"/>
      <c r="U828" s="976"/>
      <c r="V828" s="976"/>
      <c r="W828" s="976"/>
      <c r="X828" s="976"/>
      <c r="Y828" s="976"/>
      <c r="Z828" s="976"/>
      <c r="AA828" s="976"/>
      <c r="AB828" s="976"/>
      <c r="AC828" s="976"/>
      <c r="AD828" s="976"/>
    </row>
    <row r="829" spans="8:8">
      <c r="A829" s="976"/>
      <c r="B829" s="976"/>
      <c r="C829" s="976"/>
      <c r="D829" s="976"/>
      <c r="E829" s="977"/>
      <c r="F829" s="976"/>
      <c r="G829" s="976"/>
      <c r="H829" s="976"/>
      <c r="I829" s="976"/>
      <c r="J829" s="976"/>
      <c r="K829" s="976"/>
      <c r="L829" s="976"/>
      <c r="M829" s="976"/>
      <c r="N829" s="976"/>
      <c r="O829" s="976"/>
      <c r="P829" s="976"/>
      <c r="Q829" s="976"/>
      <c r="R829" s="976"/>
      <c r="S829" s="976"/>
      <c r="T829" s="976"/>
      <c r="U829" s="976"/>
      <c r="V829" s="976"/>
      <c r="W829" s="976"/>
      <c r="X829" s="976"/>
      <c r="Y829" s="976"/>
      <c r="Z829" s="976"/>
      <c r="AA829" s="976"/>
      <c r="AB829" s="976"/>
      <c r="AC829" s="976"/>
      <c r="AD829" s="976"/>
    </row>
    <row r="830" spans="8:8">
      <c r="A830" s="976"/>
      <c r="B830" s="976"/>
      <c r="C830" s="976"/>
      <c r="D830" s="976"/>
      <c r="E830" s="977"/>
      <c r="F830" s="976"/>
      <c r="G830" s="976"/>
      <c r="H830" s="976"/>
      <c r="I830" s="976"/>
      <c r="J830" s="976"/>
      <c r="K830" s="976"/>
      <c r="L830" s="976"/>
      <c r="M830" s="976"/>
      <c r="N830" s="976"/>
      <c r="O830" s="976"/>
      <c r="P830" s="976"/>
      <c r="Q830" s="976"/>
      <c r="R830" s="976"/>
      <c r="S830" s="976"/>
      <c r="T830" s="976"/>
      <c r="U830" s="976"/>
      <c r="V830" s="976"/>
      <c r="W830" s="976"/>
      <c r="X830" s="976"/>
      <c r="Y830" s="976"/>
      <c r="Z830" s="976"/>
      <c r="AA830" s="976"/>
      <c r="AB830" s="976"/>
      <c r="AC830" s="976"/>
      <c r="AD830" s="976"/>
    </row>
    <row r="831" spans="8:8">
      <c r="A831" s="976"/>
      <c r="B831" s="976"/>
      <c r="C831" s="976"/>
      <c r="D831" s="976"/>
      <c r="E831" s="977"/>
      <c r="F831" s="976"/>
      <c r="G831" s="976"/>
      <c r="H831" s="976"/>
      <c r="I831" s="976"/>
      <c r="J831" s="976"/>
      <c r="K831" s="976"/>
      <c r="L831" s="976"/>
      <c r="M831" s="976"/>
      <c r="N831" s="976"/>
      <c r="O831" s="976"/>
      <c r="P831" s="976"/>
      <c r="Q831" s="976"/>
      <c r="R831" s="976"/>
      <c r="S831" s="976"/>
      <c r="T831" s="976"/>
      <c r="U831" s="976"/>
      <c r="V831" s="976"/>
      <c r="W831" s="976"/>
      <c r="X831" s="976"/>
      <c r="Y831" s="976"/>
      <c r="Z831" s="976"/>
      <c r="AA831" s="976"/>
      <c r="AB831" s="976"/>
      <c r="AC831" s="976"/>
      <c r="AD831" s="976"/>
    </row>
    <row r="832" spans="8:8">
      <c r="A832" s="976"/>
      <c r="B832" s="976"/>
      <c r="C832" s="976"/>
      <c r="D832" s="976"/>
      <c r="E832" s="977"/>
      <c r="F832" s="976"/>
      <c r="G832" s="976"/>
      <c r="H832" s="976"/>
      <c r="I832" s="976"/>
      <c r="J832" s="976"/>
      <c r="K832" s="976"/>
      <c r="L832" s="976"/>
      <c r="M832" s="976"/>
      <c r="N832" s="976"/>
      <c r="O832" s="976"/>
      <c r="P832" s="976"/>
      <c r="Q832" s="976"/>
      <c r="R832" s="976"/>
      <c r="S832" s="976"/>
      <c r="T832" s="976"/>
      <c r="U832" s="976"/>
      <c r="V832" s="976"/>
      <c r="W832" s="976"/>
      <c r="X832" s="976"/>
      <c r="Y832" s="976"/>
      <c r="Z832" s="976"/>
      <c r="AA832" s="976"/>
      <c r="AB832" s="976"/>
      <c r="AC832" s="976"/>
      <c r="AD832" s="976"/>
    </row>
    <row r="833" spans="8:8">
      <c r="A833" s="976"/>
      <c r="B833" s="976"/>
      <c r="C833" s="976"/>
      <c r="D833" s="976"/>
      <c r="E833" s="977"/>
      <c r="F833" s="976"/>
      <c r="G833" s="976"/>
      <c r="H833" s="976"/>
      <c r="I833" s="976"/>
      <c r="J833" s="976"/>
      <c r="K833" s="976"/>
      <c r="L833" s="976"/>
      <c r="M833" s="976"/>
      <c r="N833" s="976"/>
      <c r="O833" s="976"/>
      <c r="P833" s="976"/>
      <c r="Q833" s="976"/>
      <c r="R833" s="976"/>
      <c r="S833" s="976"/>
      <c r="T833" s="976"/>
      <c r="U833" s="976"/>
      <c r="V833" s="976"/>
      <c r="W833" s="976"/>
      <c r="X833" s="976"/>
      <c r="Y833" s="976"/>
      <c r="Z833" s="976"/>
      <c r="AA833" s="976"/>
      <c r="AB833" s="976"/>
      <c r="AC833" s="976"/>
      <c r="AD833" s="976"/>
    </row>
    <row r="834" spans="8:8">
      <c r="A834" s="976"/>
      <c r="B834" s="976"/>
      <c r="C834" s="976"/>
      <c r="D834" s="976"/>
      <c r="E834" s="977"/>
      <c r="F834" s="976"/>
      <c r="G834" s="976"/>
      <c r="H834" s="976"/>
      <c r="I834" s="976"/>
      <c r="J834" s="976"/>
      <c r="K834" s="976"/>
      <c r="L834" s="976"/>
      <c r="M834" s="976"/>
      <c r="N834" s="976"/>
      <c r="O834" s="976"/>
      <c r="P834" s="976"/>
      <c r="Q834" s="976"/>
      <c r="R834" s="976"/>
      <c r="S834" s="976"/>
      <c r="T834" s="976"/>
      <c r="U834" s="976"/>
      <c r="V834" s="976"/>
      <c r="W834" s="976"/>
      <c r="X834" s="976"/>
      <c r="Y834" s="976"/>
      <c r="Z834" s="976"/>
      <c r="AA834" s="976"/>
      <c r="AB834" s="976"/>
      <c r="AC834" s="976"/>
      <c r="AD834" s="976"/>
    </row>
    <row r="835" spans="8:8">
      <c r="A835" s="976"/>
      <c r="B835" s="976"/>
      <c r="C835" s="976"/>
      <c r="D835" s="976"/>
      <c r="E835" s="977"/>
      <c r="F835" s="976"/>
      <c r="G835" s="976"/>
      <c r="H835" s="976"/>
      <c r="I835" s="976"/>
      <c r="J835" s="976"/>
      <c r="K835" s="976"/>
      <c r="L835" s="976"/>
      <c r="M835" s="976"/>
      <c r="N835" s="976"/>
      <c r="O835" s="976"/>
      <c r="P835" s="976"/>
      <c r="Q835" s="976"/>
      <c r="R835" s="976"/>
      <c r="S835" s="976"/>
      <c r="T835" s="976"/>
      <c r="U835" s="976"/>
      <c r="V835" s="976"/>
      <c r="W835" s="976"/>
      <c r="X835" s="976"/>
      <c r="Y835" s="976"/>
      <c r="Z835" s="976"/>
      <c r="AA835" s="976"/>
      <c r="AB835" s="976"/>
      <c r="AC835" s="976"/>
      <c r="AD835" s="976"/>
    </row>
    <row r="836" spans="8:8">
      <c r="A836" s="976"/>
      <c r="B836" s="976"/>
      <c r="C836" s="976"/>
      <c r="D836" s="976"/>
      <c r="E836" s="977"/>
      <c r="F836" s="976"/>
      <c r="G836" s="976"/>
      <c r="H836" s="976"/>
      <c r="I836" s="976"/>
      <c r="J836" s="976"/>
      <c r="K836" s="976"/>
      <c r="L836" s="976"/>
      <c r="M836" s="976"/>
      <c r="N836" s="976"/>
      <c r="O836" s="976"/>
      <c r="P836" s="976"/>
      <c r="Q836" s="976"/>
      <c r="R836" s="976"/>
      <c r="S836" s="976"/>
      <c r="T836" s="976"/>
      <c r="U836" s="976"/>
      <c r="V836" s="976"/>
      <c r="W836" s="976"/>
      <c r="X836" s="976"/>
      <c r="Y836" s="976"/>
      <c r="Z836" s="976"/>
      <c r="AA836" s="976"/>
      <c r="AB836" s="976"/>
      <c r="AC836" s="976"/>
      <c r="AD836" s="976"/>
    </row>
    <row r="837" spans="8:8">
      <c r="A837" s="976"/>
      <c r="B837" s="976"/>
      <c r="C837" s="976"/>
      <c r="D837" s="976"/>
      <c r="E837" s="977"/>
      <c r="F837" s="976"/>
      <c r="G837" s="976"/>
      <c r="H837" s="976"/>
      <c r="I837" s="976"/>
      <c r="J837" s="976"/>
      <c r="K837" s="976"/>
      <c r="L837" s="976"/>
      <c r="M837" s="976"/>
      <c r="N837" s="976"/>
      <c r="O837" s="976"/>
      <c r="P837" s="976"/>
      <c r="Q837" s="976"/>
      <c r="R837" s="976"/>
      <c r="S837" s="976"/>
      <c r="T837" s="976"/>
      <c r="U837" s="976"/>
      <c r="V837" s="976"/>
      <c r="W837" s="976"/>
      <c r="X837" s="976"/>
      <c r="Y837" s="976"/>
      <c r="Z837" s="976"/>
      <c r="AA837" s="976"/>
      <c r="AB837" s="976"/>
      <c r="AC837" s="976"/>
      <c r="AD837" s="976"/>
    </row>
    <row r="838" spans="8:8">
      <c r="A838" s="976"/>
      <c r="B838" s="976"/>
      <c r="C838" s="976"/>
      <c r="D838" s="976"/>
      <c r="E838" s="977"/>
      <c r="F838" s="976"/>
      <c r="G838" s="976"/>
      <c r="H838" s="976"/>
      <c r="I838" s="976"/>
      <c r="J838" s="976"/>
      <c r="K838" s="976"/>
      <c r="L838" s="976"/>
      <c r="M838" s="976"/>
      <c r="N838" s="976"/>
      <c r="O838" s="976"/>
      <c r="P838" s="976"/>
      <c r="Q838" s="976"/>
      <c r="R838" s="976"/>
      <c r="S838" s="976"/>
      <c r="T838" s="976"/>
      <c r="U838" s="976"/>
      <c r="V838" s="976"/>
      <c r="W838" s="976"/>
      <c r="X838" s="976"/>
      <c r="Y838" s="976"/>
      <c r="Z838" s="976"/>
      <c r="AA838" s="976"/>
      <c r="AB838" s="976"/>
      <c r="AC838" s="976"/>
      <c r="AD838" s="976"/>
    </row>
    <row r="839" spans="8:8">
      <c r="A839" s="976"/>
      <c r="B839" s="976"/>
      <c r="C839" s="976"/>
      <c r="D839" s="976"/>
      <c r="E839" s="977"/>
      <c r="F839" s="976"/>
      <c r="G839" s="976"/>
      <c r="H839" s="976"/>
      <c r="I839" s="976"/>
      <c r="J839" s="976"/>
      <c r="K839" s="976"/>
      <c r="L839" s="976"/>
      <c r="M839" s="976"/>
      <c r="N839" s="976"/>
      <c r="O839" s="976"/>
      <c r="P839" s="976"/>
      <c r="Q839" s="976"/>
      <c r="R839" s="976"/>
      <c r="S839" s="976"/>
      <c r="T839" s="976"/>
      <c r="U839" s="976"/>
      <c r="V839" s="976"/>
      <c r="W839" s="976"/>
      <c r="X839" s="976"/>
      <c r="Y839" s="976"/>
      <c r="Z839" s="976"/>
      <c r="AA839" s="976"/>
      <c r="AB839" s="976"/>
      <c r="AC839" s="976"/>
      <c r="AD839" s="976"/>
    </row>
    <row r="840" spans="8:8">
      <c r="A840" s="976"/>
      <c r="B840" s="976"/>
      <c r="C840" s="976"/>
      <c r="D840" s="976"/>
      <c r="E840" s="977"/>
      <c r="F840" s="976"/>
      <c r="G840" s="976"/>
      <c r="H840" s="976"/>
      <c r="I840" s="976"/>
      <c r="J840" s="976"/>
      <c r="K840" s="976"/>
      <c r="L840" s="976"/>
      <c r="M840" s="976"/>
      <c r="N840" s="976"/>
      <c r="O840" s="976"/>
      <c r="P840" s="976"/>
      <c r="Q840" s="976"/>
      <c r="R840" s="976"/>
      <c r="S840" s="976"/>
      <c r="T840" s="976"/>
      <c r="U840" s="976"/>
      <c r="V840" s="976"/>
      <c r="W840" s="976"/>
      <c r="X840" s="976"/>
      <c r="Y840" s="976"/>
      <c r="Z840" s="976"/>
      <c r="AA840" s="976"/>
      <c r="AB840" s="976"/>
      <c r="AC840" s="976"/>
      <c r="AD840" s="976"/>
    </row>
    <row r="841" spans="8:8">
      <c r="A841" s="976"/>
      <c r="B841" s="976"/>
      <c r="C841" s="976"/>
      <c r="D841" s="976"/>
      <c r="E841" s="977"/>
      <c r="F841" s="976"/>
      <c r="G841" s="976"/>
      <c r="H841" s="976"/>
      <c r="I841" s="976"/>
      <c r="J841" s="976"/>
      <c r="K841" s="976"/>
      <c r="L841" s="976"/>
      <c r="M841" s="976"/>
      <c r="N841" s="976"/>
      <c r="O841" s="976"/>
      <c r="P841" s="976"/>
      <c r="Q841" s="976"/>
      <c r="R841" s="976"/>
      <c r="S841" s="976"/>
      <c r="T841" s="976"/>
      <c r="U841" s="976"/>
      <c r="V841" s="976"/>
      <c r="W841" s="976"/>
      <c r="X841" s="976"/>
      <c r="Y841" s="976"/>
      <c r="Z841" s="976"/>
      <c r="AA841" s="976"/>
      <c r="AB841" s="976"/>
      <c r="AC841" s="976"/>
      <c r="AD841" s="976"/>
    </row>
    <row r="842" spans="8:8">
      <c r="A842" s="976"/>
      <c r="B842" s="976"/>
      <c r="C842" s="976"/>
      <c r="D842" s="976"/>
      <c r="E842" s="977"/>
      <c r="F842" s="976"/>
      <c r="G842" s="976"/>
      <c r="H842" s="976"/>
      <c r="I842" s="976"/>
      <c r="J842" s="976"/>
      <c r="K842" s="976"/>
      <c r="L842" s="976"/>
      <c r="M842" s="976"/>
      <c r="N842" s="976"/>
      <c r="O842" s="976"/>
      <c r="P842" s="976"/>
      <c r="Q842" s="976"/>
      <c r="R842" s="976"/>
      <c r="S842" s="976"/>
      <c r="T842" s="976"/>
      <c r="U842" s="976"/>
      <c r="V842" s="976"/>
      <c r="W842" s="976"/>
      <c r="X842" s="976"/>
      <c r="Y842" s="976"/>
      <c r="Z842" s="976"/>
      <c r="AA842" s="976"/>
      <c r="AB842" s="976"/>
      <c r="AC842" s="976"/>
      <c r="AD842" s="976"/>
    </row>
    <row r="843" spans="8:8">
      <c r="A843" s="976"/>
      <c r="B843" s="976"/>
      <c r="C843" s="976"/>
      <c r="D843" s="976"/>
      <c r="E843" s="977"/>
      <c r="F843" s="976"/>
      <c r="G843" s="976"/>
      <c r="H843" s="976"/>
      <c r="I843" s="976"/>
      <c r="J843" s="976"/>
      <c r="K843" s="976"/>
      <c r="L843" s="976"/>
      <c r="M843" s="976"/>
      <c r="N843" s="976"/>
      <c r="O843" s="976"/>
      <c r="P843" s="976"/>
      <c r="Q843" s="976"/>
      <c r="R843" s="976"/>
      <c r="S843" s="976"/>
      <c r="T843" s="976"/>
      <c r="U843" s="976"/>
      <c r="V843" s="976"/>
      <c r="W843" s="976"/>
      <c r="X843" s="976"/>
      <c r="Y843" s="976"/>
      <c r="Z843" s="976"/>
      <c r="AA843" s="976"/>
      <c r="AB843" s="976"/>
      <c r="AC843" s="976"/>
      <c r="AD843" s="976"/>
    </row>
    <row r="844" spans="8:8">
      <c r="A844" s="976"/>
      <c r="B844" s="976"/>
      <c r="C844" s="976"/>
      <c r="D844" s="976"/>
      <c r="E844" s="977"/>
      <c r="F844" s="976"/>
      <c r="G844" s="976"/>
      <c r="H844" s="976"/>
      <c r="I844" s="976"/>
      <c r="J844" s="976"/>
      <c r="K844" s="976"/>
      <c r="L844" s="976"/>
      <c r="M844" s="976"/>
      <c r="N844" s="976"/>
      <c r="O844" s="976"/>
      <c r="P844" s="976"/>
      <c r="Q844" s="976"/>
      <c r="R844" s="976"/>
      <c r="S844" s="976"/>
      <c r="T844" s="976"/>
      <c r="U844" s="976"/>
      <c r="V844" s="976"/>
      <c r="W844" s="976"/>
      <c r="X844" s="976"/>
      <c r="Y844" s="976"/>
      <c r="Z844" s="976"/>
      <c r="AA844" s="976"/>
      <c r="AB844" s="976"/>
      <c r="AC844" s="976"/>
      <c r="AD844" s="976"/>
    </row>
    <row r="845" spans="8:8">
      <c r="A845" s="976"/>
      <c r="B845" s="976"/>
      <c r="C845" s="976"/>
      <c r="D845" s="976"/>
      <c r="E845" s="977"/>
      <c r="F845" s="976"/>
      <c r="G845" s="976"/>
      <c r="H845" s="976"/>
      <c r="I845" s="976"/>
      <c r="J845" s="976"/>
      <c r="K845" s="976"/>
      <c r="L845" s="976"/>
      <c r="M845" s="976"/>
      <c r="N845" s="976"/>
      <c r="O845" s="976"/>
      <c r="P845" s="976"/>
      <c r="Q845" s="976"/>
      <c r="R845" s="976"/>
      <c r="S845" s="976"/>
      <c r="T845" s="976"/>
      <c r="U845" s="976"/>
      <c r="V845" s="976"/>
      <c r="W845" s="976"/>
      <c r="X845" s="976"/>
      <c r="Y845" s="976"/>
      <c r="Z845" s="976"/>
      <c r="AA845" s="976"/>
      <c r="AB845" s="976"/>
      <c r="AC845" s="976"/>
      <c r="AD845" s="976"/>
    </row>
    <row r="846" spans="8:8">
      <c r="A846" s="976"/>
      <c r="B846" s="976"/>
      <c r="C846" s="976"/>
      <c r="D846" s="976"/>
      <c r="E846" s="977"/>
      <c r="F846" s="976"/>
      <c r="G846" s="976"/>
      <c r="H846" s="976"/>
      <c r="I846" s="976"/>
      <c r="J846" s="976"/>
      <c r="K846" s="976"/>
      <c r="L846" s="976"/>
      <c r="M846" s="976"/>
      <c r="N846" s="976"/>
      <c r="O846" s="976"/>
      <c r="P846" s="976"/>
      <c r="Q846" s="976"/>
      <c r="R846" s="976"/>
      <c r="S846" s="976"/>
      <c r="T846" s="976"/>
      <c r="U846" s="976"/>
      <c r="V846" s="976"/>
      <c r="W846" s="976"/>
      <c r="X846" s="976"/>
      <c r="Y846" s="976"/>
      <c r="Z846" s="976"/>
      <c r="AA846" s="976"/>
      <c r="AB846" s="976"/>
      <c r="AC846" s="976"/>
      <c r="AD846" s="976"/>
    </row>
    <row r="847" spans="8:8">
      <c r="A847" s="976"/>
      <c r="B847" s="976"/>
      <c r="C847" s="976"/>
      <c r="D847" s="976"/>
      <c r="E847" s="977"/>
      <c r="F847" s="976"/>
      <c r="G847" s="976"/>
      <c r="H847" s="976"/>
      <c r="I847" s="976"/>
      <c r="J847" s="976"/>
      <c r="K847" s="976"/>
      <c r="L847" s="976"/>
      <c r="M847" s="976"/>
      <c r="N847" s="976"/>
      <c r="O847" s="976"/>
      <c r="P847" s="976"/>
      <c r="Q847" s="976"/>
      <c r="R847" s="976"/>
      <c r="S847" s="976"/>
      <c r="T847" s="976"/>
      <c r="U847" s="976"/>
      <c r="V847" s="976"/>
      <c r="W847" s="976"/>
      <c r="X847" s="976"/>
      <c r="Y847" s="976"/>
      <c r="Z847" s="976"/>
      <c r="AA847" s="976"/>
      <c r="AB847" s="976"/>
      <c r="AC847" s="976"/>
      <c r="AD847" s="976"/>
    </row>
    <row r="848" spans="8:8">
      <c r="A848" s="976"/>
      <c r="B848" s="976"/>
      <c r="C848" s="976"/>
      <c r="D848" s="976"/>
      <c r="E848" s="977"/>
      <c r="F848" s="976"/>
      <c r="G848" s="976"/>
      <c r="H848" s="976"/>
      <c r="I848" s="976"/>
      <c r="J848" s="976"/>
      <c r="K848" s="976"/>
      <c r="L848" s="976"/>
      <c r="M848" s="976"/>
      <c r="N848" s="976"/>
      <c r="O848" s="976"/>
      <c r="P848" s="976"/>
      <c r="Q848" s="976"/>
      <c r="R848" s="976"/>
      <c r="S848" s="976"/>
      <c r="T848" s="976"/>
      <c r="U848" s="976"/>
      <c r="V848" s="976"/>
      <c r="W848" s="976"/>
      <c r="X848" s="976"/>
      <c r="Y848" s="976"/>
      <c r="Z848" s="976"/>
      <c r="AA848" s="976"/>
      <c r="AB848" s="976"/>
      <c r="AC848" s="976"/>
      <c r="AD848" s="976"/>
    </row>
    <row r="849" spans="8:8">
      <c r="A849" s="976"/>
      <c r="B849" s="976"/>
      <c r="C849" s="976"/>
      <c r="D849" s="976"/>
      <c r="E849" s="977"/>
      <c r="F849" s="976"/>
      <c r="G849" s="976"/>
      <c r="H849" s="976"/>
      <c r="I849" s="976"/>
      <c r="J849" s="976"/>
      <c r="K849" s="976"/>
      <c r="L849" s="976"/>
      <c r="M849" s="976"/>
      <c r="N849" s="976"/>
      <c r="O849" s="976"/>
      <c r="P849" s="976"/>
      <c r="Q849" s="976"/>
      <c r="R849" s="976"/>
      <c r="S849" s="976"/>
      <c r="T849" s="976"/>
      <c r="U849" s="976"/>
      <c r="V849" s="976"/>
      <c r="W849" s="976"/>
      <c r="X849" s="976"/>
      <c r="Y849" s="976"/>
      <c r="Z849" s="976"/>
      <c r="AA849" s="976"/>
      <c r="AB849" s="976"/>
      <c r="AC849" s="976"/>
      <c r="AD849" s="976"/>
    </row>
    <row r="850" spans="8:8">
      <c r="A850" s="976"/>
      <c r="B850" s="976"/>
      <c r="C850" s="976"/>
      <c r="D850" s="976"/>
      <c r="E850" s="977"/>
      <c r="F850" s="976"/>
      <c r="G850" s="976"/>
      <c r="H850" s="976"/>
      <c r="I850" s="976"/>
      <c r="J850" s="976"/>
      <c r="K850" s="976"/>
      <c r="L850" s="976"/>
      <c r="M850" s="976"/>
      <c r="N850" s="976"/>
      <c r="O850" s="976"/>
      <c r="P850" s="976"/>
      <c r="Q850" s="976"/>
      <c r="R850" s="976"/>
      <c r="S850" s="976"/>
      <c r="T850" s="976"/>
      <c r="U850" s="976"/>
      <c r="V850" s="976"/>
      <c r="W850" s="976"/>
      <c r="X850" s="976"/>
      <c r="Y850" s="976"/>
      <c r="Z850" s="976"/>
      <c r="AA850" s="976"/>
      <c r="AB850" s="976"/>
      <c r="AC850" s="976"/>
      <c r="AD850" s="976"/>
    </row>
    <row r="851" spans="8:8">
      <c r="A851" s="976"/>
      <c r="B851" s="976"/>
      <c r="C851" s="976"/>
      <c r="D851" s="976"/>
      <c r="E851" s="977"/>
      <c r="F851" s="976"/>
      <c r="G851" s="976"/>
      <c r="H851" s="976"/>
      <c r="I851" s="976"/>
      <c r="J851" s="976"/>
      <c r="K851" s="976"/>
      <c r="L851" s="976"/>
      <c r="M851" s="976"/>
      <c r="N851" s="976"/>
      <c r="O851" s="976"/>
      <c r="P851" s="976"/>
      <c r="Q851" s="976"/>
      <c r="R851" s="976"/>
      <c r="S851" s="976"/>
      <c r="T851" s="976"/>
      <c r="U851" s="976"/>
      <c r="V851" s="976"/>
      <c r="W851" s="976"/>
      <c r="X851" s="976"/>
      <c r="Y851" s="976"/>
      <c r="Z851" s="976"/>
      <c r="AA851" s="976"/>
      <c r="AB851" s="976"/>
      <c r="AC851" s="976"/>
      <c r="AD851" s="976"/>
    </row>
    <row r="852" spans="8:8">
      <c r="A852" s="976"/>
      <c r="B852" s="976"/>
      <c r="C852" s="976"/>
      <c r="D852" s="976"/>
      <c r="E852" s="977"/>
      <c r="F852" s="976"/>
      <c r="G852" s="976"/>
      <c r="H852" s="976"/>
      <c r="I852" s="976"/>
      <c r="J852" s="976"/>
      <c r="K852" s="976"/>
      <c r="L852" s="976"/>
      <c r="M852" s="976"/>
      <c r="N852" s="976"/>
      <c r="O852" s="976"/>
      <c r="P852" s="976"/>
      <c r="Q852" s="976"/>
      <c r="R852" s="976"/>
      <c r="S852" s="976"/>
      <c r="T852" s="976"/>
      <c r="U852" s="976"/>
      <c r="V852" s="976"/>
      <c r="W852" s="976"/>
      <c r="X852" s="976"/>
      <c r="Y852" s="976"/>
      <c r="Z852" s="976"/>
      <c r="AA852" s="976"/>
      <c r="AB852" s="976"/>
      <c r="AC852" s="976"/>
      <c r="AD852" s="976"/>
    </row>
    <row r="853" spans="8:8">
      <c r="A853" s="976"/>
      <c r="B853" s="976"/>
      <c r="C853" s="976"/>
      <c r="D853" s="976"/>
      <c r="E853" s="977"/>
      <c r="F853" s="976"/>
      <c r="G853" s="976"/>
      <c r="H853" s="976"/>
      <c r="I853" s="976"/>
      <c r="J853" s="976"/>
      <c r="K853" s="976"/>
      <c r="L853" s="976"/>
      <c r="M853" s="976"/>
      <c r="N853" s="976"/>
      <c r="O853" s="976"/>
      <c r="P853" s="976"/>
      <c r="Q853" s="976"/>
      <c r="R853" s="976"/>
      <c r="S853" s="976"/>
      <c r="T853" s="976"/>
      <c r="U853" s="976"/>
      <c r="V853" s="976"/>
      <c r="W853" s="976"/>
      <c r="X853" s="976"/>
      <c r="Y853" s="976"/>
      <c r="Z853" s="976"/>
      <c r="AA853" s="976"/>
      <c r="AB853" s="976"/>
      <c r="AC853" s="976"/>
      <c r="AD853" s="976"/>
    </row>
    <row r="854" spans="8:8">
      <c r="A854" s="976"/>
      <c r="B854" s="976"/>
      <c r="C854" s="976"/>
      <c r="D854" s="976"/>
      <c r="E854" s="977"/>
      <c r="F854" s="976"/>
      <c r="G854" s="976"/>
      <c r="H854" s="976"/>
      <c r="I854" s="976"/>
      <c r="J854" s="976"/>
      <c r="K854" s="976"/>
      <c r="L854" s="976"/>
      <c r="M854" s="976"/>
      <c r="N854" s="976"/>
      <c r="O854" s="976"/>
      <c r="P854" s="976"/>
      <c r="Q854" s="976"/>
      <c r="R854" s="976"/>
      <c r="S854" s="976"/>
      <c r="T854" s="976"/>
      <c r="U854" s="976"/>
      <c r="V854" s="976"/>
      <c r="W854" s="976"/>
      <c r="X854" s="976"/>
      <c r="Y854" s="976"/>
      <c r="Z854" s="976"/>
      <c r="AA854" s="976"/>
      <c r="AB854" s="976"/>
      <c r="AC854" s="976"/>
      <c r="AD854" s="976"/>
    </row>
    <row r="855" spans="8:8">
      <c r="A855" s="976"/>
      <c r="B855" s="976"/>
      <c r="C855" s="976"/>
      <c r="D855" s="976"/>
      <c r="E855" s="977"/>
      <c r="F855" s="976"/>
      <c r="G855" s="976"/>
      <c r="H855" s="976"/>
      <c r="I855" s="976"/>
      <c r="J855" s="976"/>
      <c r="K855" s="976"/>
      <c r="L855" s="976"/>
      <c r="M855" s="976"/>
      <c r="N855" s="976"/>
      <c r="O855" s="976"/>
      <c r="P855" s="976"/>
      <c r="Q855" s="976"/>
      <c r="R855" s="976"/>
      <c r="S855" s="976"/>
      <c r="T855" s="976"/>
      <c r="U855" s="976"/>
      <c r="V855" s="976"/>
      <c r="W855" s="976"/>
      <c r="X855" s="976"/>
      <c r="Y855" s="976"/>
      <c r="Z855" s="976"/>
      <c r="AA855" s="976"/>
      <c r="AB855" s="976"/>
      <c r="AC855" s="976"/>
      <c r="AD855" s="976"/>
    </row>
    <row r="856" spans="8:8">
      <c r="A856" s="976"/>
      <c r="B856" s="976"/>
      <c r="C856" s="976"/>
      <c r="D856" s="976"/>
      <c r="E856" s="977"/>
      <c r="F856" s="976"/>
      <c r="G856" s="976"/>
      <c r="H856" s="976"/>
      <c r="I856" s="976"/>
      <c r="J856" s="976"/>
      <c r="K856" s="976"/>
      <c r="L856" s="976"/>
      <c r="M856" s="976"/>
      <c r="N856" s="976"/>
      <c r="O856" s="976"/>
      <c r="P856" s="976"/>
      <c r="Q856" s="976"/>
      <c r="R856" s="976"/>
      <c r="S856" s="976"/>
      <c r="T856" s="976"/>
      <c r="U856" s="976"/>
      <c r="V856" s="976"/>
      <c r="W856" s="976"/>
      <c r="X856" s="976"/>
      <c r="Y856" s="976"/>
      <c r="Z856" s="976"/>
      <c r="AA856" s="976"/>
      <c r="AB856" s="976"/>
      <c r="AC856" s="976"/>
      <c r="AD856" s="976"/>
    </row>
    <row r="857" spans="8:8">
      <c r="A857" s="976"/>
      <c r="B857" s="976"/>
      <c r="C857" s="976"/>
      <c r="D857" s="976"/>
      <c r="E857" s="977"/>
      <c r="F857" s="976"/>
      <c r="G857" s="976"/>
      <c r="H857" s="976"/>
      <c r="I857" s="976"/>
      <c r="J857" s="976"/>
      <c r="K857" s="976"/>
      <c r="L857" s="976"/>
      <c r="M857" s="976"/>
      <c r="N857" s="976"/>
      <c r="O857" s="976"/>
      <c r="P857" s="976"/>
      <c r="Q857" s="976"/>
      <c r="R857" s="976"/>
      <c r="S857" s="976"/>
      <c r="T857" s="976"/>
      <c r="U857" s="976"/>
      <c r="V857" s="976"/>
      <c r="W857" s="976"/>
      <c r="X857" s="976"/>
      <c r="Y857" s="976"/>
      <c r="Z857" s="976"/>
      <c r="AA857" s="976"/>
      <c r="AB857" s="976"/>
      <c r="AC857" s="976"/>
      <c r="AD857" s="976"/>
    </row>
    <row r="858" spans="8:8">
      <c r="A858" s="976"/>
      <c r="B858" s="976"/>
      <c r="C858" s="976"/>
      <c r="D858" s="976"/>
      <c r="E858" s="977"/>
      <c r="F858" s="976"/>
      <c r="G858" s="976"/>
      <c r="H858" s="976"/>
      <c r="I858" s="976"/>
      <c r="J858" s="976"/>
      <c r="K858" s="976"/>
      <c r="L858" s="976"/>
      <c r="M858" s="976"/>
      <c r="N858" s="976"/>
      <c r="O858" s="976"/>
      <c r="P858" s="976"/>
      <c r="Q858" s="976"/>
      <c r="R858" s="976"/>
      <c r="S858" s="976"/>
      <c r="T858" s="976"/>
      <c r="U858" s="976"/>
      <c r="V858" s="976"/>
      <c r="W858" s="976"/>
      <c r="X858" s="976"/>
      <c r="Y858" s="976"/>
      <c r="Z858" s="976"/>
      <c r="AA858" s="976"/>
      <c r="AB858" s="976"/>
      <c r="AC858" s="976"/>
      <c r="AD858" s="976"/>
    </row>
    <row r="859" spans="8:8">
      <c r="A859" s="976"/>
      <c r="B859" s="976"/>
      <c r="C859" s="976"/>
      <c r="D859" s="976"/>
      <c r="E859" s="977"/>
      <c r="F859" s="976"/>
      <c r="G859" s="976"/>
      <c r="H859" s="976"/>
      <c r="I859" s="976"/>
      <c r="J859" s="976"/>
      <c r="K859" s="976"/>
      <c r="L859" s="976"/>
      <c r="M859" s="976"/>
      <c r="N859" s="976"/>
      <c r="O859" s="976"/>
      <c r="P859" s="976"/>
      <c r="Q859" s="976"/>
      <c r="R859" s="976"/>
      <c r="S859" s="976"/>
      <c r="T859" s="976"/>
      <c r="U859" s="976"/>
      <c r="V859" s="976"/>
      <c r="W859" s="976"/>
      <c r="X859" s="976"/>
      <c r="Y859" s="976"/>
      <c r="Z859" s="976"/>
      <c r="AA859" s="976"/>
      <c r="AB859" s="976"/>
      <c r="AC859" s="976"/>
      <c r="AD859" s="976"/>
    </row>
    <row r="860" spans="8:8">
      <c r="A860" s="976"/>
      <c r="B860" s="976"/>
      <c r="C860" s="976"/>
      <c r="D860" s="976"/>
      <c r="E860" s="977"/>
      <c r="F860" s="976"/>
      <c r="G860" s="976"/>
      <c r="H860" s="976"/>
      <c r="I860" s="976"/>
      <c r="J860" s="976"/>
      <c r="K860" s="976"/>
      <c r="L860" s="976"/>
      <c r="M860" s="976"/>
      <c r="N860" s="976"/>
      <c r="O860" s="976"/>
      <c r="P860" s="976"/>
      <c r="Q860" s="976"/>
      <c r="R860" s="976"/>
      <c r="S860" s="976"/>
      <c r="T860" s="976"/>
      <c r="U860" s="976"/>
      <c r="V860" s="976"/>
      <c r="W860" s="976"/>
      <c r="X860" s="976"/>
      <c r="Y860" s="976"/>
      <c r="Z860" s="976"/>
      <c r="AA860" s="976"/>
      <c r="AB860" s="976"/>
      <c r="AC860" s="976"/>
      <c r="AD860" s="976"/>
    </row>
    <row r="861" spans="8:8">
      <c r="A861" s="976"/>
      <c r="B861" s="976"/>
      <c r="C861" s="976"/>
      <c r="D861" s="976"/>
      <c r="E861" s="977"/>
      <c r="F861" s="976"/>
      <c r="G861" s="976"/>
      <c r="H861" s="976"/>
      <c r="I861" s="976"/>
      <c r="J861" s="976"/>
      <c r="K861" s="976"/>
      <c r="L861" s="976"/>
      <c r="M861" s="976"/>
      <c r="N861" s="976"/>
      <c r="O861" s="976"/>
      <c r="P861" s="976"/>
      <c r="Q861" s="976"/>
      <c r="R861" s="976"/>
      <c r="S861" s="976"/>
      <c r="T861" s="976"/>
      <c r="U861" s="976"/>
      <c r="V861" s="976"/>
      <c r="W861" s="976"/>
      <c r="X861" s="976"/>
      <c r="Y861" s="976"/>
      <c r="Z861" s="976"/>
      <c r="AA861" s="976"/>
      <c r="AB861" s="976"/>
      <c r="AC861" s="976"/>
      <c r="AD861" s="976"/>
    </row>
    <row r="862" spans="8:8">
      <c r="A862" s="976"/>
      <c r="B862" s="976"/>
      <c r="C862" s="976"/>
      <c r="D862" s="976"/>
      <c r="E862" s="977"/>
      <c r="F862" s="976"/>
      <c r="G862" s="976"/>
      <c r="H862" s="976"/>
      <c r="I862" s="976"/>
      <c r="J862" s="976"/>
      <c r="K862" s="976"/>
      <c r="L862" s="976"/>
      <c r="M862" s="976"/>
      <c r="N862" s="976"/>
      <c r="O862" s="976"/>
      <c r="P862" s="976"/>
      <c r="Q862" s="976"/>
      <c r="R862" s="976"/>
      <c r="S862" s="976"/>
      <c r="T862" s="976"/>
      <c r="U862" s="976"/>
      <c r="V862" s="976"/>
      <c r="W862" s="976"/>
      <c r="X862" s="976"/>
      <c r="Y862" s="976"/>
      <c r="Z862" s="976"/>
      <c r="AA862" s="976"/>
      <c r="AB862" s="976"/>
      <c r="AC862" s="976"/>
      <c r="AD862" s="976"/>
    </row>
    <row r="863" spans="8:8">
      <c r="A863" s="976"/>
      <c r="B863" s="976"/>
      <c r="C863" s="976"/>
      <c r="D863" s="976"/>
      <c r="E863" s="977"/>
      <c r="F863" s="976"/>
      <c r="G863" s="976"/>
      <c r="H863" s="976"/>
      <c r="I863" s="976"/>
      <c r="J863" s="976"/>
      <c r="K863" s="976"/>
      <c r="L863" s="976"/>
      <c r="M863" s="976"/>
      <c r="N863" s="976"/>
      <c r="O863" s="976"/>
      <c r="P863" s="976"/>
      <c r="Q863" s="976"/>
      <c r="R863" s="976"/>
      <c r="S863" s="976"/>
      <c r="T863" s="976"/>
      <c r="U863" s="976"/>
      <c r="V863" s="976"/>
      <c r="W863" s="976"/>
      <c r="X863" s="976"/>
      <c r="Y863" s="976"/>
      <c r="Z863" s="976"/>
      <c r="AA863" s="976"/>
      <c r="AB863" s="976"/>
      <c r="AC863" s="976"/>
      <c r="AD863" s="976"/>
    </row>
    <row r="864" spans="8:8">
      <c r="A864" s="976"/>
      <c r="B864" s="976"/>
      <c r="C864" s="976"/>
      <c r="D864" s="976"/>
      <c r="E864" s="977"/>
      <c r="F864" s="976"/>
      <c r="G864" s="976"/>
      <c r="H864" s="976"/>
      <c r="I864" s="976"/>
      <c r="J864" s="976"/>
      <c r="K864" s="976"/>
      <c r="L864" s="976"/>
      <c r="M864" s="976"/>
      <c r="N864" s="976"/>
      <c r="O864" s="976"/>
      <c r="P864" s="976"/>
      <c r="Q864" s="976"/>
      <c r="R864" s="976"/>
      <c r="S864" s="976"/>
      <c r="T864" s="976"/>
      <c r="U864" s="976"/>
      <c r="V864" s="976"/>
      <c r="W864" s="976"/>
      <c r="X864" s="976"/>
      <c r="Y864" s="976"/>
      <c r="Z864" s="976"/>
      <c r="AA864" s="976"/>
      <c r="AB864" s="976"/>
      <c r="AC864" s="976"/>
      <c r="AD864" s="976"/>
    </row>
    <row r="865" spans="8:8">
      <c r="A865" s="976"/>
      <c r="B865" s="976"/>
      <c r="C865" s="976"/>
      <c r="D865" s="976"/>
      <c r="E865" s="977"/>
      <c r="F865" s="976"/>
      <c r="G865" s="976"/>
      <c r="H865" s="976"/>
      <c r="I865" s="976"/>
      <c r="J865" s="976"/>
      <c r="K865" s="976"/>
      <c r="L865" s="976"/>
      <c r="M865" s="976"/>
      <c r="N865" s="976"/>
      <c r="O865" s="976"/>
      <c r="P865" s="976"/>
      <c r="Q865" s="976"/>
      <c r="R865" s="976"/>
      <c r="S865" s="976"/>
      <c r="T865" s="976"/>
      <c r="U865" s="976"/>
      <c r="V865" s="976"/>
      <c r="W865" s="976"/>
      <c r="X865" s="976"/>
      <c r="Y865" s="976"/>
      <c r="Z865" s="976"/>
      <c r="AA865" s="976"/>
      <c r="AB865" s="976"/>
      <c r="AC865" s="976"/>
      <c r="AD865" s="976"/>
    </row>
    <row r="866" spans="8:8">
      <c r="A866" s="976"/>
      <c r="B866" s="976"/>
      <c r="C866" s="976"/>
      <c r="D866" s="976"/>
      <c r="E866" s="977"/>
      <c r="F866" s="976"/>
      <c r="G866" s="976"/>
      <c r="H866" s="976"/>
      <c r="I866" s="976"/>
      <c r="J866" s="976"/>
      <c r="K866" s="976"/>
      <c r="L866" s="976"/>
      <c r="M866" s="976"/>
      <c r="N866" s="976"/>
      <c r="O866" s="976"/>
      <c r="P866" s="976"/>
      <c r="Q866" s="976"/>
      <c r="R866" s="976"/>
      <c r="S866" s="976"/>
      <c r="T866" s="976"/>
      <c r="U866" s="976"/>
      <c r="V866" s="976"/>
      <c r="W866" s="976"/>
      <c r="X866" s="976"/>
      <c r="Y866" s="976"/>
      <c r="Z866" s="976"/>
      <c r="AA866" s="976"/>
      <c r="AB866" s="976"/>
      <c r="AC866" s="976"/>
      <c r="AD866" s="976"/>
    </row>
    <row r="867" spans="8:8">
      <c r="A867" s="976"/>
      <c r="B867" s="976"/>
      <c r="C867" s="976"/>
      <c r="D867" s="976"/>
      <c r="E867" s="977"/>
      <c r="F867" s="976"/>
      <c r="G867" s="976"/>
      <c r="H867" s="976"/>
      <c r="I867" s="976"/>
      <c r="J867" s="976"/>
      <c r="K867" s="976"/>
      <c r="L867" s="976"/>
      <c r="M867" s="976"/>
      <c r="N867" s="976"/>
      <c r="O867" s="976"/>
      <c r="P867" s="976"/>
      <c r="Q867" s="976"/>
      <c r="R867" s="976"/>
      <c r="S867" s="976"/>
      <c r="T867" s="976"/>
      <c r="U867" s="976"/>
      <c r="V867" s="976"/>
      <c r="W867" s="976"/>
      <c r="X867" s="976"/>
      <c r="Y867" s="976"/>
      <c r="Z867" s="976"/>
      <c r="AA867" s="976"/>
      <c r="AB867" s="976"/>
      <c r="AC867" s="976"/>
      <c r="AD867" s="976"/>
    </row>
    <row r="868" spans="8:8">
      <c r="A868" s="976"/>
      <c r="B868" s="976"/>
      <c r="C868" s="976"/>
      <c r="D868" s="976"/>
      <c r="E868" s="977"/>
      <c r="F868" s="976"/>
      <c r="G868" s="976"/>
      <c r="H868" s="976"/>
      <c r="I868" s="976"/>
      <c r="J868" s="976"/>
      <c r="K868" s="976"/>
      <c r="L868" s="976"/>
      <c r="M868" s="976"/>
      <c r="N868" s="976"/>
      <c r="O868" s="976"/>
      <c r="P868" s="976"/>
      <c r="Q868" s="976"/>
      <c r="R868" s="976"/>
      <c r="S868" s="976"/>
      <c r="T868" s="976"/>
      <c r="U868" s="976"/>
      <c r="V868" s="976"/>
      <c r="W868" s="976"/>
      <c r="X868" s="976"/>
      <c r="Y868" s="976"/>
      <c r="Z868" s="976"/>
      <c r="AA868" s="976"/>
      <c r="AB868" s="976"/>
      <c r="AC868" s="976"/>
      <c r="AD868" s="976"/>
    </row>
    <row r="869" spans="8:8">
      <c r="A869" s="976"/>
      <c r="B869" s="976"/>
      <c r="C869" s="976"/>
      <c r="D869" s="976"/>
      <c r="E869" s="977"/>
      <c r="F869" s="976"/>
      <c r="G869" s="976"/>
      <c r="H869" s="976"/>
      <c r="I869" s="976"/>
      <c r="J869" s="976"/>
      <c r="K869" s="976"/>
      <c r="L869" s="976"/>
      <c r="M869" s="976"/>
      <c r="N869" s="976"/>
      <c r="O869" s="976"/>
      <c r="P869" s="976"/>
      <c r="Q869" s="976"/>
      <c r="R869" s="976"/>
      <c r="S869" s="976"/>
      <c r="T869" s="976"/>
      <c r="U869" s="976"/>
      <c r="V869" s="976"/>
      <c r="W869" s="976"/>
      <c r="X869" s="976"/>
      <c r="Y869" s="976"/>
      <c r="Z869" s="976"/>
      <c r="AA869" s="976"/>
      <c r="AB869" s="976"/>
      <c r="AC869" s="976"/>
      <c r="AD869" s="976"/>
    </row>
    <row r="870" spans="8:8">
      <c r="A870" s="976"/>
      <c r="B870" s="976"/>
      <c r="C870" s="976"/>
      <c r="D870" s="976"/>
      <c r="E870" s="977"/>
      <c r="F870" s="976"/>
      <c r="G870" s="976"/>
      <c r="H870" s="976"/>
      <c r="I870" s="976"/>
      <c r="J870" s="976"/>
      <c r="K870" s="976"/>
      <c r="L870" s="976"/>
      <c r="M870" s="976"/>
      <c r="N870" s="976"/>
      <c r="O870" s="976"/>
      <c r="P870" s="976"/>
      <c r="Q870" s="976"/>
      <c r="R870" s="976"/>
      <c r="S870" s="976"/>
      <c r="T870" s="976"/>
      <c r="U870" s="976"/>
      <c r="V870" s="976"/>
      <c r="W870" s="976"/>
      <c r="X870" s="976"/>
      <c r="Y870" s="976"/>
      <c r="Z870" s="976"/>
      <c r="AA870" s="976"/>
      <c r="AB870" s="976"/>
      <c r="AC870" s="976"/>
      <c r="AD870" s="976"/>
    </row>
    <row r="871" spans="8:8">
      <c r="A871" s="976"/>
      <c r="B871" s="976"/>
      <c r="C871" s="976"/>
      <c r="D871" s="976"/>
      <c r="E871" s="977"/>
      <c r="F871" s="976"/>
      <c r="G871" s="976"/>
      <c r="H871" s="976"/>
      <c r="I871" s="976"/>
      <c r="J871" s="976"/>
      <c r="K871" s="976"/>
      <c r="L871" s="976"/>
      <c r="M871" s="976"/>
      <c r="N871" s="976"/>
      <c r="O871" s="976"/>
      <c r="P871" s="976"/>
      <c r="Q871" s="976"/>
      <c r="R871" s="976"/>
      <c r="S871" s="976"/>
      <c r="T871" s="976"/>
      <c r="U871" s="976"/>
      <c r="V871" s="976"/>
      <c r="W871" s="976"/>
      <c r="X871" s="976"/>
      <c r="Y871" s="976"/>
      <c r="Z871" s="976"/>
      <c r="AA871" s="976"/>
      <c r="AB871" s="976"/>
      <c r="AC871" s="976"/>
      <c r="AD871" s="976"/>
    </row>
    <row r="872" spans="8:8">
      <c r="A872" s="976"/>
      <c r="B872" s="976"/>
      <c r="C872" s="976"/>
      <c r="D872" s="976"/>
      <c r="E872" s="977"/>
      <c r="F872" s="976"/>
      <c r="G872" s="976"/>
      <c r="H872" s="976"/>
      <c r="I872" s="976"/>
      <c r="J872" s="976"/>
      <c r="K872" s="976"/>
      <c r="L872" s="976"/>
      <c r="M872" s="976"/>
      <c r="N872" s="976"/>
      <c r="O872" s="976"/>
      <c r="P872" s="976"/>
      <c r="Q872" s="976"/>
      <c r="R872" s="976"/>
      <c r="S872" s="976"/>
      <c r="T872" s="976"/>
      <c r="U872" s="976"/>
      <c r="V872" s="976"/>
      <c r="W872" s="976"/>
      <c r="X872" s="976"/>
      <c r="Y872" s="976"/>
      <c r="Z872" s="976"/>
      <c r="AA872" s="976"/>
      <c r="AB872" s="976"/>
      <c r="AC872" s="976"/>
      <c r="AD872" s="976"/>
    </row>
    <row r="873" spans="8:8">
      <c r="A873" s="976"/>
      <c r="B873" s="976"/>
      <c r="C873" s="976"/>
      <c r="D873" s="976"/>
      <c r="E873" s="977"/>
      <c r="F873" s="976"/>
      <c r="G873" s="976"/>
      <c r="H873" s="976"/>
      <c r="I873" s="976"/>
      <c r="J873" s="976"/>
      <c r="K873" s="976"/>
      <c r="L873" s="976"/>
      <c r="M873" s="976"/>
      <c r="N873" s="976"/>
      <c r="O873" s="976"/>
      <c r="P873" s="976"/>
      <c r="Q873" s="976"/>
      <c r="R873" s="976"/>
      <c r="S873" s="976"/>
      <c r="T873" s="976"/>
      <c r="U873" s="976"/>
      <c r="V873" s="976"/>
      <c r="W873" s="976"/>
      <c r="X873" s="976"/>
      <c r="Y873" s="976"/>
      <c r="Z873" s="976"/>
      <c r="AA873" s="976"/>
      <c r="AB873" s="976"/>
      <c r="AC873" s="976"/>
      <c r="AD873" s="976"/>
    </row>
    <row r="874" spans="8:8">
      <c r="A874" s="976"/>
      <c r="B874" s="976"/>
      <c r="C874" s="976"/>
      <c r="D874" s="976"/>
      <c r="E874" s="977"/>
      <c r="F874" s="976"/>
      <c r="G874" s="976"/>
      <c r="H874" s="976"/>
      <c r="I874" s="976"/>
      <c r="J874" s="976"/>
      <c r="K874" s="976"/>
      <c r="L874" s="976"/>
      <c r="M874" s="976"/>
      <c r="N874" s="976"/>
      <c r="O874" s="976"/>
      <c r="P874" s="976"/>
      <c r="Q874" s="976"/>
      <c r="R874" s="976"/>
      <c r="S874" s="976"/>
      <c r="T874" s="976"/>
      <c r="U874" s="976"/>
      <c r="V874" s="976"/>
      <c r="W874" s="976"/>
      <c r="X874" s="976"/>
      <c r="Y874" s="976"/>
      <c r="Z874" s="976"/>
      <c r="AA874" s="976"/>
      <c r="AB874" s="976"/>
      <c r="AC874" s="976"/>
      <c r="AD874" s="976"/>
    </row>
    <row r="875" spans="8:8">
      <c r="A875" s="976"/>
      <c r="B875" s="976"/>
      <c r="C875" s="976"/>
      <c r="D875" s="976"/>
      <c r="E875" s="977"/>
      <c r="F875" s="976"/>
      <c r="G875" s="976"/>
      <c r="H875" s="976"/>
      <c r="I875" s="976"/>
      <c r="J875" s="976"/>
      <c r="K875" s="976"/>
      <c r="L875" s="976"/>
      <c r="M875" s="976"/>
      <c r="N875" s="976"/>
      <c r="O875" s="976"/>
      <c r="P875" s="976"/>
      <c r="Q875" s="976"/>
      <c r="R875" s="976"/>
      <c r="S875" s="976"/>
      <c r="T875" s="976"/>
      <c r="U875" s="976"/>
      <c r="V875" s="976"/>
      <c r="W875" s="976"/>
      <c r="X875" s="976"/>
      <c r="Y875" s="976"/>
      <c r="Z875" s="976"/>
      <c r="AA875" s="976"/>
      <c r="AB875" s="976"/>
      <c r="AC875" s="976"/>
      <c r="AD875" s="976"/>
    </row>
    <row r="876" spans="8:8">
      <c r="A876" s="976"/>
      <c r="B876" s="976"/>
      <c r="C876" s="976"/>
      <c r="D876" s="976"/>
      <c r="E876" s="977"/>
      <c r="F876" s="976"/>
      <c r="G876" s="976"/>
      <c r="H876" s="976"/>
      <c r="I876" s="976"/>
      <c r="J876" s="976"/>
      <c r="K876" s="976"/>
      <c r="L876" s="976"/>
      <c r="M876" s="976"/>
      <c r="N876" s="976"/>
      <c r="O876" s="976"/>
      <c r="P876" s="976"/>
      <c r="Q876" s="976"/>
      <c r="R876" s="976"/>
      <c r="S876" s="976"/>
      <c r="T876" s="976"/>
      <c r="U876" s="976"/>
      <c r="V876" s="976"/>
      <c r="W876" s="976"/>
      <c r="X876" s="976"/>
      <c r="Y876" s="976"/>
      <c r="Z876" s="976"/>
      <c r="AA876" s="976"/>
      <c r="AB876" s="976"/>
      <c r="AC876" s="976"/>
      <c r="AD876" s="976"/>
    </row>
    <row r="877" spans="8:8">
      <c r="A877" s="976"/>
      <c r="B877" s="976"/>
      <c r="C877" s="976"/>
      <c r="D877" s="976"/>
      <c r="E877" s="977"/>
      <c r="F877" s="976"/>
      <c r="G877" s="976"/>
      <c r="H877" s="976"/>
      <c r="I877" s="976"/>
      <c r="J877" s="976"/>
      <c r="K877" s="976"/>
      <c r="L877" s="976"/>
      <c r="M877" s="976"/>
      <c r="N877" s="976"/>
      <c r="O877" s="976"/>
      <c r="P877" s="976"/>
      <c r="Q877" s="976"/>
      <c r="R877" s="976"/>
      <c r="S877" s="976"/>
      <c r="T877" s="976"/>
      <c r="U877" s="976"/>
      <c r="V877" s="976"/>
      <c r="W877" s="976"/>
      <c r="X877" s="976"/>
      <c r="Y877" s="976"/>
      <c r="Z877" s="976"/>
      <c r="AA877" s="976"/>
      <c r="AB877" s="976"/>
      <c r="AC877" s="976"/>
      <c r="AD877" s="976"/>
    </row>
    <row r="878" spans="8:8">
      <c r="A878" s="976"/>
      <c r="B878" s="976"/>
      <c r="C878" s="976"/>
      <c r="D878" s="976"/>
      <c r="E878" s="977"/>
      <c r="F878" s="976"/>
      <c r="G878" s="976"/>
      <c r="H878" s="976"/>
      <c r="I878" s="976"/>
      <c r="J878" s="976"/>
      <c r="K878" s="976"/>
      <c r="L878" s="976"/>
      <c r="M878" s="976"/>
      <c r="N878" s="976"/>
      <c r="O878" s="976"/>
      <c r="P878" s="976"/>
      <c r="Q878" s="976"/>
      <c r="R878" s="976"/>
      <c r="S878" s="976"/>
      <c r="T878" s="976"/>
      <c r="U878" s="976"/>
      <c r="V878" s="976"/>
      <c r="W878" s="976"/>
      <c r="X878" s="976"/>
      <c r="Y878" s="976"/>
      <c r="Z878" s="976"/>
      <c r="AA878" s="976"/>
      <c r="AB878" s="976"/>
      <c r="AC878" s="976"/>
      <c r="AD878" s="976"/>
    </row>
    <row r="879" spans="8:8">
      <c r="A879" s="976"/>
      <c r="B879" s="976"/>
      <c r="C879" s="976"/>
      <c r="D879" s="976"/>
      <c r="E879" s="977"/>
      <c r="F879" s="976"/>
      <c r="G879" s="976"/>
      <c r="H879" s="976"/>
      <c r="I879" s="976"/>
      <c r="J879" s="976"/>
      <c r="K879" s="976"/>
      <c r="L879" s="976"/>
      <c r="M879" s="976"/>
      <c r="N879" s="976"/>
      <c r="O879" s="976"/>
      <c r="P879" s="976"/>
      <c r="Q879" s="976"/>
      <c r="R879" s="976"/>
      <c r="S879" s="976"/>
      <c r="T879" s="976"/>
      <c r="U879" s="976"/>
      <c r="V879" s="976"/>
      <c r="W879" s="976"/>
      <c r="X879" s="976"/>
      <c r="Y879" s="976"/>
      <c r="Z879" s="976"/>
      <c r="AA879" s="976"/>
      <c r="AB879" s="976"/>
      <c r="AC879" s="976"/>
      <c r="AD879" s="976"/>
    </row>
    <row r="880" spans="8:8">
      <c r="A880" s="976"/>
      <c r="B880" s="976"/>
      <c r="C880" s="976"/>
      <c r="D880" s="976"/>
      <c r="E880" s="977"/>
      <c r="F880" s="976"/>
      <c r="G880" s="976"/>
      <c r="H880" s="976"/>
      <c r="I880" s="976"/>
      <c r="J880" s="976"/>
      <c r="K880" s="976"/>
      <c r="L880" s="976"/>
      <c r="M880" s="976"/>
      <c r="N880" s="976"/>
      <c r="O880" s="976"/>
      <c r="P880" s="976"/>
      <c r="Q880" s="976"/>
      <c r="R880" s="976"/>
      <c r="S880" s="976"/>
      <c r="T880" s="976"/>
      <c r="U880" s="976"/>
      <c r="V880" s="976"/>
      <c r="W880" s="976"/>
      <c r="X880" s="976"/>
      <c r="Y880" s="976"/>
      <c r="Z880" s="976"/>
      <c r="AA880" s="976"/>
      <c r="AB880" s="976"/>
      <c r="AC880" s="976"/>
      <c r="AD880" s="976"/>
    </row>
    <row r="881" spans="8:8">
      <c r="A881" s="976"/>
      <c r="B881" s="976"/>
      <c r="C881" s="976"/>
      <c r="D881" s="976"/>
      <c r="E881" s="977"/>
      <c r="F881" s="976"/>
      <c r="G881" s="976"/>
      <c r="H881" s="976"/>
      <c r="I881" s="976"/>
      <c r="J881" s="976"/>
      <c r="K881" s="976"/>
      <c r="L881" s="976"/>
      <c r="M881" s="976"/>
      <c r="N881" s="976"/>
      <c r="O881" s="976"/>
      <c r="P881" s="976"/>
      <c r="Q881" s="976"/>
      <c r="R881" s="976"/>
      <c r="S881" s="976"/>
      <c r="T881" s="976"/>
      <c r="U881" s="976"/>
      <c r="V881" s="976"/>
      <c r="W881" s="976"/>
      <c r="X881" s="976"/>
      <c r="Y881" s="976"/>
      <c r="Z881" s="976"/>
      <c r="AA881" s="976"/>
      <c r="AB881" s="976"/>
      <c r="AC881" s="976"/>
      <c r="AD881" s="976"/>
    </row>
    <row r="882" spans="8:8">
      <c r="A882" s="976"/>
      <c r="B882" s="976"/>
      <c r="C882" s="976"/>
      <c r="D882" s="976"/>
      <c r="E882" s="977"/>
      <c r="F882" s="976"/>
      <c r="G882" s="976"/>
      <c r="H882" s="976"/>
      <c r="I882" s="976"/>
      <c r="J882" s="976"/>
      <c r="K882" s="976"/>
      <c r="L882" s="976"/>
      <c r="M882" s="976"/>
      <c r="N882" s="976"/>
      <c r="O882" s="976"/>
      <c r="P882" s="976"/>
      <c r="Q882" s="976"/>
      <c r="R882" s="976"/>
      <c r="S882" s="976"/>
      <c r="T882" s="976"/>
      <c r="U882" s="976"/>
      <c r="V882" s="976"/>
      <c r="W882" s="976"/>
      <c r="X882" s="976"/>
      <c r="Y882" s="976"/>
      <c r="Z882" s="976"/>
      <c r="AA882" s="976"/>
      <c r="AB882" s="976"/>
      <c r="AC882" s="976"/>
      <c r="AD882" s="976"/>
    </row>
    <row r="883" spans="8:8">
      <c r="A883" s="976"/>
      <c r="B883" s="976"/>
      <c r="C883" s="976"/>
      <c r="D883" s="976"/>
      <c r="E883" s="977"/>
      <c r="F883" s="976"/>
      <c r="G883" s="976"/>
      <c r="H883" s="976"/>
      <c r="I883" s="976"/>
      <c r="J883" s="976"/>
      <c r="K883" s="976"/>
      <c r="L883" s="976"/>
      <c r="M883" s="976"/>
      <c r="N883" s="976"/>
      <c r="O883" s="976"/>
      <c r="P883" s="976"/>
      <c r="Q883" s="976"/>
      <c r="R883" s="976"/>
      <c r="S883" s="976"/>
      <c r="T883" s="976"/>
      <c r="U883" s="976"/>
      <c r="V883" s="976"/>
      <c r="W883" s="976"/>
      <c r="X883" s="976"/>
      <c r="Y883" s="976"/>
      <c r="Z883" s="976"/>
      <c r="AA883" s="976"/>
      <c r="AB883" s="976"/>
      <c r="AC883" s="976"/>
      <c r="AD883" s="976"/>
    </row>
    <row r="884" spans="8:8">
      <c r="A884" s="976"/>
      <c r="B884" s="976"/>
      <c r="C884" s="976"/>
      <c r="D884" s="976"/>
      <c r="E884" s="977"/>
      <c r="F884" s="976"/>
      <c r="G884" s="976"/>
      <c r="H884" s="976"/>
      <c r="I884" s="976"/>
      <c r="J884" s="976"/>
      <c r="K884" s="976"/>
      <c r="L884" s="976"/>
      <c r="M884" s="976"/>
      <c r="N884" s="976"/>
      <c r="O884" s="976"/>
      <c r="P884" s="976"/>
      <c r="Q884" s="976"/>
      <c r="R884" s="976"/>
      <c r="S884" s="976"/>
      <c r="T884" s="976"/>
      <c r="U884" s="976"/>
      <c r="V884" s="976"/>
      <c r="W884" s="976"/>
      <c r="X884" s="976"/>
      <c r="Y884" s="976"/>
      <c r="Z884" s="976"/>
      <c r="AA884" s="976"/>
      <c r="AB884" s="976"/>
      <c r="AC884" s="976"/>
      <c r="AD884" s="976"/>
    </row>
    <row r="885" spans="8:8">
      <c r="A885" s="976"/>
      <c r="B885" s="976"/>
      <c r="C885" s="976"/>
      <c r="D885" s="976"/>
      <c r="E885" s="977"/>
      <c r="F885" s="976"/>
      <c r="G885" s="976"/>
      <c r="H885" s="976"/>
      <c r="I885" s="976"/>
      <c r="J885" s="976"/>
      <c r="K885" s="976"/>
      <c r="L885" s="976"/>
      <c r="M885" s="976"/>
      <c r="N885" s="976"/>
      <c r="O885" s="976"/>
      <c r="P885" s="976"/>
      <c r="Q885" s="976"/>
      <c r="R885" s="976"/>
      <c r="S885" s="976"/>
      <c r="T885" s="976"/>
      <c r="U885" s="976"/>
      <c r="V885" s="976"/>
      <c r="W885" s="976"/>
      <c r="X885" s="976"/>
      <c r="Y885" s="976"/>
      <c r="Z885" s="976"/>
      <c r="AA885" s="976"/>
      <c r="AB885" s="976"/>
      <c r="AC885" s="976"/>
      <c r="AD885" s="976"/>
    </row>
    <row r="886" spans="8:8">
      <c r="A886" s="976"/>
      <c r="B886" s="976"/>
      <c r="C886" s="976"/>
      <c r="D886" s="976"/>
      <c r="E886" s="977"/>
      <c r="F886" s="976"/>
      <c r="G886" s="976"/>
      <c r="H886" s="976"/>
      <c r="I886" s="976"/>
      <c r="J886" s="976"/>
      <c r="K886" s="976"/>
      <c r="L886" s="976"/>
      <c r="M886" s="976"/>
      <c r="N886" s="976"/>
      <c r="O886" s="976"/>
      <c r="P886" s="976"/>
      <c r="Q886" s="976"/>
      <c r="R886" s="976"/>
      <c r="S886" s="976"/>
      <c r="T886" s="976"/>
      <c r="U886" s="976"/>
      <c r="V886" s="976"/>
      <c r="W886" s="976"/>
      <c r="X886" s="976"/>
      <c r="Y886" s="976"/>
      <c r="Z886" s="976"/>
      <c r="AA886" s="976"/>
      <c r="AB886" s="976"/>
      <c r="AC886" s="976"/>
      <c r="AD886" s="976"/>
    </row>
    <row r="887" spans="8:8">
      <c r="A887" s="976"/>
      <c r="B887" s="976"/>
      <c r="C887" s="976"/>
      <c r="D887" s="976"/>
      <c r="E887" s="977"/>
      <c r="F887" s="976"/>
      <c r="G887" s="976"/>
      <c r="H887" s="976"/>
      <c r="I887" s="976"/>
      <c r="J887" s="976"/>
      <c r="K887" s="976"/>
      <c r="L887" s="976"/>
      <c r="M887" s="976"/>
      <c r="N887" s="976"/>
      <c r="O887" s="976"/>
      <c r="P887" s="976"/>
      <c r="Q887" s="976"/>
      <c r="R887" s="976"/>
      <c r="S887" s="976"/>
      <c r="T887" s="976"/>
      <c r="U887" s="976"/>
      <c r="V887" s="976"/>
      <c r="W887" s="976"/>
      <c r="X887" s="976"/>
      <c r="Y887" s="976"/>
      <c r="Z887" s="976"/>
      <c r="AA887" s="976"/>
      <c r="AB887" s="976"/>
      <c r="AC887" s="976"/>
      <c r="AD887" s="976"/>
    </row>
    <row r="888" spans="8:8">
      <c r="A888" s="976"/>
      <c r="B888" s="976"/>
      <c r="C888" s="976"/>
      <c r="D888" s="976"/>
      <c r="E888" s="977"/>
      <c r="F888" s="976"/>
      <c r="G888" s="976"/>
      <c r="H888" s="976"/>
      <c r="I888" s="976"/>
      <c r="J888" s="976"/>
      <c r="K888" s="976"/>
      <c r="L888" s="976"/>
      <c r="M888" s="976"/>
      <c r="N888" s="976"/>
      <c r="O888" s="976"/>
      <c r="P888" s="976"/>
      <c r="Q888" s="976"/>
      <c r="R888" s="976"/>
      <c r="S888" s="976"/>
      <c r="T888" s="976"/>
      <c r="U888" s="976"/>
      <c r="V888" s="976"/>
      <c r="W888" s="976"/>
      <c r="X888" s="976"/>
      <c r="Y888" s="976"/>
      <c r="Z888" s="976"/>
      <c r="AA888" s="976"/>
      <c r="AB888" s="976"/>
      <c r="AC888" s="976"/>
      <c r="AD888" s="976"/>
    </row>
    <row r="889" spans="8:8">
      <c r="A889" s="976"/>
      <c r="B889" s="976"/>
      <c r="C889" s="976"/>
      <c r="D889" s="976"/>
      <c r="E889" s="977"/>
      <c r="F889" s="976"/>
      <c r="G889" s="976"/>
      <c r="H889" s="976"/>
      <c r="I889" s="976"/>
      <c r="J889" s="976"/>
      <c r="K889" s="976"/>
      <c r="L889" s="976"/>
      <c r="M889" s="976"/>
      <c r="N889" s="976"/>
      <c r="O889" s="976"/>
      <c r="P889" s="976"/>
      <c r="Q889" s="976"/>
      <c r="R889" s="976"/>
      <c r="S889" s="976"/>
      <c r="T889" s="976"/>
      <c r="U889" s="976"/>
      <c r="V889" s="976"/>
      <c r="W889" s="976"/>
      <c r="X889" s="976"/>
      <c r="Y889" s="976"/>
      <c r="Z889" s="976"/>
      <c r="AA889" s="976"/>
      <c r="AB889" s="976"/>
      <c r="AC889" s="976"/>
      <c r="AD889" s="976"/>
    </row>
    <row r="890" spans="8:8">
      <c r="A890" s="976"/>
      <c r="B890" s="976"/>
      <c r="C890" s="976"/>
      <c r="D890" s="976"/>
      <c r="E890" s="977"/>
      <c r="F890" s="976"/>
      <c r="G890" s="976"/>
      <c r="H890" s="976"/>
      <c r="I890" s="976"/>
      <c r="J890" s="976"/>
      <c r="K890" s="976"/>
      <c r="L890" s="976"/>
      <c r="M890" s="976"/>
      <c r="N890" s="976"/>
      <c r="O890" s="976"/>
      <c r="P890" s="976"/>
      <c r="Q890" s="976"/>
      <c r="R890" s="976"/>
      <c r="S890" s="976"/>
      <c r="T890" s="976"/>
      <c r="U890" s="976"/>
      <c r="V890" s="976"/>
      <c r="W890" s="976"/>
      <c r="X890" s="976"/>
      <c r="Y890" s="976"/>
      <c r="Z890" s="976"/>
      <c r="AA890" s="976"/>
      <c r="AB890" s="976"/>
      <c r="AC890" s="976"/>
      <c r="AD890" s="976"/>
    </row>
    <row r="891" spans="8:8">
      <c r="A891" s="976"/>
      <c r="B891" s="976"/>
      <c r="C891" s="976"/>
      <c r="D891" s="976"/>
      <c r="E891" s="977"/>
      <c r="F891" s="976"/>
      <c r="G891" s="976"/>
      <c r="H891" s="976"/>
      <c r="I891" s="976"/>
      <c r="J891" s="976"/>
      <c r="K891" s="976"/>
      <c r="L891" s="976"/>
      <c r="M891" s="976"/>
      <c r="N891" s="976"/>
      <c r="O891" s="976"/>
      <c r="P891" s="976"/>
      <c r="Q891" s="976"/>
      <c r="R891" s="976"/>
      <c r="S891" s="976"/>
      <c r="T891" s="976"/>
      <c r="U891" s="976"/>
      <c r="V891" s="976"/>
      <c r="W891" s="976"/>
      <c r="X891" s="976"/>
      <c r="Y891" s="976"/>
      <c r="Z891" s="976"/>
      <c r="AA891" s="976"/>
      <c r="AB891" s="976"/>
      <c r="AC891" s="976"/>
      <c r="AD891" s="976"/>
    </row>
    <row r="892" spans="8:8">
      <c r="A892" s="976"/>
      <c r="B892" s="976"/>
      <c r="C892" s="976"/>
      <c r="D892" s="976"/>
      <c r="E892" s="977"/>
      <c r="F892" s="976"/>
      <c r="G892" s="976"/>
      <c r="H892" s="976"/>
      <c r="I892" s="976"/>
      <c r="J892" s="976"/>
      <c r="K892" s="976"/>
      <c r="L892" s="976"/>
      <c r="M892" s="976"/>
      <c r="N892" s="976"/>
      <c r="O892" s="976"/>
      <c r="P892" s="976"/>
      <c r="Q892" s="976"/>
      <c r="R892" s="976"/>
      <c r="S892" s="976"/>
      <c r="T892" s="976"/>
      <c r="U892" s="976"/>
      <c r="V892" s="976"/>
      <c r="W892" s="976"/>
      <c r="X892" s="976"/>
      <c r="Y892" s="976"/>
      <c r="Z892" s="976"/>
      <c r="AA892" s="976"/>
      <c r="AB892" s="976"/>
      <c r="AC892" s="976"/>
      <c r="AD892" s="976"/>
    </row>
    <row r="893" spans="8:8">
      <c r="A893" s="976"/>
      <c r="B893" s="976"/>
      <c r="C893" s="976"/>
      <c r="D893" s="976"/>
      <c r="E893" s="977"/>
      <c r="F893" s="976"/>
      <c r="G893" s="976"/>
      <c r="H893" s="976"/>
      <c r="I893" s="976"/>
      <c r="J893" s="976"/>
      <c r="K893" s="976"/>
      <c r="L893" s="976"/>
      <c r="M893" s="976"/>
      <c r="N893" s="976"/>
      <c r="O893" s="976"/>
      <c r="P893" s="976"/>
      <c r="Q893" s="976"/>
      <c r="R893" s="976"/>
      <c r="S893" s="976"/>
      <c r="T893" s="976"/>
      <c r="U893" s="976"/>
      <c r="V893" s="976"/>
      <c r="W893" s="976"/>
      <c r="X893" s="976"/>
      <c r="Y893" s="976"/>
      <c r="Z893" s="976"/>
      <c r="AA893" s="976"/>
      <c r="AB893" s="976"/>
      <c r="AC893" s="976"/>
      <c r="AD893" s="976"/>
    </row>
    <row r="894" spans="8:8">
      <c r="A894" s="976"/>
      <c r="B894" s="976"/>
      <c r="C894" s="976"/>
      <c r="D894" s="976"/>
      <c r="E894" s="977"/>
      <c r="F894" s="976"/>
      <c r="G894" s="976"/>
      <c r="H894" s="976"/>
      <c r="I894" s="976"/>
      <c r="J894" s="976"/>
      <c r="K894" s="976"/>
      <c r="L894" s="976"/>
      <c r="M894" s="976"/>
      <c r="N894" s="976"/>
      <c r="O894" s="976"/>
      <c r="P894" s="976"/>
      <c r="Q894" s="976"/>
      <c r="R894" s="976"/>
      <c r="S894" s="976"/>
      <c r="T894" s="976"/>
      <c r="U894" s="976"/>
      <c r="V894" s="976"/>
      <c r="W894" s="976"/>
      <c r="X894" s="976"/>
      <c r="Y894" s="976"/>
      <c r="Z894" s="976"/>
      <c r="AA894" s="976"/>
      <c r="AB894" s="976"/>
      <c r="AC894" s="976"/>
      <c r="AD894" s="976"/>
    </row>
    <row r="895" spans="8:8">
      <c r="A895" s="976"/>
      <c r="B895" s="976"/>
      <c r="C895" s="976"/>
      <c r="D895" s="976"/>
      <c r="E895" s="977"/>
      <c r="F895" s="976"/>
      <c r="G895" s="976"/>
      <c r="H895" s="976"/>
      <c r="I895" s="976"/>
      <c r="J895" s="976"/>
      <c r="K895" s="976"/>
      <c r="L895" s="976"/>
      <c r="M895" s="976"/>
      <c r="N895" s="976"/>
      <c r="O895" s="976"/>
      <c r="P895" s="976"/>
      <c r="Q895" s="976"/>
      <c r="R895" s="976"/>
      <c r="S895" s="976"/>
      <c r="T895" s="976"/>
      <c r="U895" s="976"/>
      <c r="V895" s="976"/>
      <c r="W895" s="976"/>
      <c r="X895" s="976"/>
      <c r="Y895" s="976"/>
      <c r="Z895" s="976"/>
      <c r="AA895" s="976"/>
      <c r="AB895" s="976"/>
      <c r="AC895" s="976"/>
      <c r="AD895" s="976"/>
    </row>
    <row r="896" spans="8:8">
      <c r="A896" s="976"/>
      <c r="B896" s="976"/>
      <c r="C896" s="976"/>
      <c r="D896" s="976"/>
      <c r="E896" s="977"/>
      <c r="F896" s="976"/>
      <c r="G896" s="976"/>
      <c r="H896" s="976"/>
      <c r="I896" s="976"/>
      <c r="J896" s="976"/>
      <c r="K896" s="976"/>
      <c r="L896" s="976"/>
      <c r="M896" s="976"/>
      <c r="N896" s="976"/>
      <c r="O896" s="976"/>
      <c r="P896" s="976"/>
      <c r="Q896" s="976"/>
      <c r="R896" s="976"/>
      <c r="S896" s="976"/>
      <c r="T896" s="976"/>
      <c r="U896" s="976"/>
      <c r="V896" s="976"/>
      <c r="W896" s="976"/>
      <c r="X896" s="976"/>
      <c r="Y896" s="976"/>
      <c r="Z896" s="976"/>
      <c r="AA896" s="976"/>
      <c r="AB896" s="976"/>
      <c r="AC896" s="976"/>
      <c r="AD896" s="976"/>
    </row>
    <row r="897" spans="8:8">
      <c r="A897" s="976"/>
      <c r="B897" s="976"/>
      <c r="C897" s="976"/>
      <c r="D897" s="976"/>
      <c r="E897" s="977"/>
      <c r="F897" s="976"/>
      <c r="G897" s="976"/>
      <c r="H897" s="976"/>
      <c r="I897" s="976"/>
      <c r="J897" s="976"/>
      <c r="K897" s="976"/>
      <c r="L897" s="976"/>
      <c r="M897" s="976"/>
      <c r="N897" s="976"/>
      <c r="O897" s="976"/>
      <c r="P897" s="976"/>
      <c r="Q897" s="976"/>
      <c r="R897" s="976"/>
      <c r="S897" s="976"/>
      <c r="T897" s="976"/>
      <c r="U897" s="976"/>
      <c r="V897" s="976"/>
      <c r="W897" s="976"/>
      <c r="X897" s="976"/>
      <c r="Y897" s="976"/>
      <c r="Z897" s="976"/>
      <c r="AA897" s="976"/>
      <c r="AB897" s="976"/>
      <c r="AC897" s="976"/>
      <c r="AD897" s="976"/>
    </row>
    <row r="898" spans="8:8">
      <c r="A898" s="976"/>
      <c r="B898" s="976"/>
      <c r="C898" s="976"/>
      <c r="D898" s="976"/>
      <c r="E898" s="977"/>
      <c r="F898" s="976"/>
      <c r="G898" s="976"/>
      <c r="H898" s="976"/>
      <c r="I898" s="976"/>
      <c r="J898" s="976"/>
      <c r="K898" s="976"/>
      <c r="L898" s="976"/>
      <c r="M898" s="976"/>
      <c r="N898" s="976"/>
      <c r="O898" s="976"/>
      <c r="P898" s="976"/>
      <c r="Q898" s="976"/>
      <c r="R898" s="976"/>
      <c r="S898" s="976"/>
      <c r="T898" s="976"/>
      <c r="U898" s="976"/>
      <c r="V898" s="976"/>
      <c r="W898" s="976"/>
      <c r="X898" s="976"/>
      <c r="Y898" s="976"/>
      <c r="Z898" s="976"/>
      <c r="AA898" s="976"/>
      <c r="AB898" s="976"/>
      <c r="AC898" s="976"/>
      <c r="AD898" s="976"/>
    </row>
    <row r="899" spans="8:8">
      <c r="A899" s="976"/>
      <c r="B899" s="976"/>
      <c r="C899" s="976"/>
      <c r="D899" s="976"/>
      <c r="E899" s="977"/>
      <c r="F899" s="976"/>
      <c r="G899" s="976"/>
      <c r="H899" s="976"/>
      <c r="I899" s="976"/>
      <c r="J899" s="976"/>
      <c r="K899" s="976"/>
      <c r="L899" s="976"/>
      <c r="M899" s="976"/>
      <c r="N899" s="976"/>
      <c r="O899" s="976"/>
      <c r="P899" s="976"/>
      <c r="Q899" s="976"/>
      <c r="R899" s="976"/>
      <c r="S899" s="976"/>
      <c r="T899" s="976"/>
      <c r="U899" s="976"/>
      <c r="V899" s="976"/>
      <c r="W899" s="976"/>
      <c r="X899" s="976"/>
      <c r="Y899" s="976"/>
      <c r="Z899" s="976"/>
      <c r="AA899" s="976"/>
      <c r="AB899" s="976"/>
      <c r="AC899" s="976"/>
      <c r="AD899" s="976"/>
    </row>
    <row r="900" spans="8:8">
      <c r="A900" s="976"/>
      <c r="B900" s="976"/>
      <c r="C900" s="976"/>
      <c r="D900" s="976"/>
      <c r="E900" s="977"/>
      <c r="F900" s="976"/>
      <c r="G900" s="976"/>
      <c r="H900" s="976"/>
      <c r="I900" s="976"/>
      <c r="J900" s="976"/>
      <c r="K900" s="976"/>
      <c r="L900" s="976"/>
      <c r="M900" s="976"/>
      <c r="N900" s="976"/>
      <c r="O900" s="976"/>
      <c r="P900" s="976"/>
      <c r="Q900" s="976"/>
      <c r="R900" s="976"/>
      <c r="S900" s="976"/>
      <c r="T900" s="976"/>
      <c r="U900" s="976"/>
      <c r="V900" s="976"/>
      <c r="W900" s="976"/>
      <c r="X900" s="976"/>
      <c r="Y900" s="976"/>
      <c r="Z900" s="976"/>
      <c r="AA900" s="976"/>
      <c r="AB900" s="976"/>
      <c r="AC900" s="976"/>
      <c r="AD900" s="976"/>
    </row>
    <row r="901" spans="8:8">
      <c r="A901" s="976"/>
      <c r="B901" s="976"/>
      <c r="C901" s="976"/>
      <c r="D901" s="976"/>
      <c r="E901" s="977"/>
      <c r="F901" s="976"/>
      <c r="G901" s="976"/>
      <c r="H901" s="976"/>
      <c r="I901" s="976"/>
      <c r="J901" s="976"/>
      <c r="K901" s="976"/>
      <c r="L901" s="976"/>
      <c r="M901" s="976"/>
      <c r="N901" s="976"/>
      <c r="O901" s="976"/>
      <c r="P901" s="976"/>
      <c r="Q901" s="976"/>
      <c r="R901" s="976"/>
      <c r="S901" s="976"/>
      <c r="T901" s="976"/>
      <c r="U901" s="976"/>
      <c r="V901" s="976"/>
      <c r="W901" s="976"/>
      <c r="X901" s="976"/>
      <c r="Y901" s="976"/>
      <c r="Z901" s="976"/>
      <c r="AA901" s="976"/>
      <c r="AB901" s="976"/>
      <c r="AC901" s="976"/>
      <c r="AD901" s="976"/>
    </row>
    <row r="902" spans="8:8">
      <c r="A902" s="976"/>
      <c r="B902" s="976"/>
      <c r="C902" s="976"/>
      <c r="D902" s="976"/>
      <c r="E902" s="977"/>
      <c r="F902" s="976"/>
      <c r="G902" s="976"/>
      <c r="H902" s="976"/>
      <c r="I902" s="976"/>
      <c r="J902" s="976"/>
      <c r="K902" s="976"/>
      <c r="L902" s="976"/>
      <c r="M902" s="976"/>
      <c r="N902" s="976"/>
      <c r="O902" s="976"/>
      <c r="P902" s="976"/>
      <c r="Q902" s="976"/>
      <c r="R902" s="976"/>
      <c r="S902" s="976"/>
      <c r="T902" s="976"/>
      <c r="U902" s="976"/>
      <c r="V902" s="976"/>
      <c r="W902" s="976"/>
      <c r="X902" s="976"/>
      <c r="Y902" s="976"/>
      <c r="Z902" s="976"/>
      <c r="AA902" s="976"/>
      <c r="AB902" s="976"/>
      <c r="AC902" s="976"/>
      <c r="AD902" s="976"/>
    </row>
    <row r="903" spans="8:8">
      <c r="A903" s="976"/>
      <c r="B903" s="976"/>
      <c r="C903" s="976"/>
      <c r="D903" s="976"/>
      <c r="E903" s="977"/>
      <c r="F903" s="976"/>
      <c r="G903" s="976"/>
      <c r="H903" s="976"/>
      <c r="I903" s="976"/>
      <c r="J903" s="976"/>
      <c r="K903" s="976"/>
      <c r="L903" s="976"/>
      <c r="M903" s="976"/>
      <c r="N903" s="976"/>
      <c r="O903" s="976"/>
      <c r="P903" s="976"/>
      <c r="Q903" s="976"/>
      <c r="R903" s="976"/>
      <c r="S903" s="976"/>
      <c r="T903" s="976"/>
      <c r="U903" s="976"/>
      <c r="V903" s="976"/>
      <c r="W903" s="976"/>
      <c r="X903" s="976"/>
      <c r="Y903" s="976"/>
      <c r="Z903" s="976"/>
      <c r="AA903" s="976"/>
      <c r="AB903" s="976"/>
      <c r="AC903" s="976"/>
      <c r="AD903" s="976"/>
    </row>
    <row r="904" spans="8:8">
      <c r="A904" s="976"/>
      <c r="B904" s="976"/>
      <c r="C904" s="976"/>
      <c r="D904" s="976"/>
      <c r="E904" s="977"/>
      <c r="F904" s="976"/>
      <c r="G904" s="976"/>
      <c r="H904" s="976"/>
      <c r="I904" s="976"/>
      <c r="J904" s="976"/>
      <c r="K904" s="976"/>
      <c r="L904" s="976"/>
      <c r="M904" s="976"/>
      <c r="N904" s="976"/>
      <c r="O904" s="976"/>
      <c r="P904" s="976"/>
      <c r="Q904" s="976"/>
      <c r="R904" s="976"/>
      <c r="S904" s="976"/>
      <c r="T904" s="976"/>
      <c r="U904" s="976"/>
      <c r="V904" s="976"/>
      <c r="W904" s="976"/>
      <c r="X904" s="976"/>
      <c r="Y904" s="976"/>
      <c r="Z904" s="976"/>
      <c r="AA904" s="976"/>
      <c r="AB904" s="976"/>
      <c r="AC904" s="976"/>
      <c r="AD904" s="976"/>
    </row>
    <row r="905" spans="8:8">
      <c r="A905" s="976"/>
      <c r="B905" s="976"/>
      <c r="C905" s="976"/>
      <c r="D905" s="976"/>
      <c r="E905" s="977"/>
      <c r="F905" s="976"/>
      <c r="G905" s="976"/>
      <c r="H905" s="976"/>
      <c r="I905" s="976"/>
      <c r="J905" s="976"/>
      <c r="K905" s="976"/>
      <c r="L905" s="976"/>
      <c r="M905" s="976"/>
      <c r="N905" s="976"/>
      <c r="O905" s="976"/>
      <c r="P905" s="976"/>
      <c r="Q905" s="976"/>
      <c r="R905" s="976"/>
      <c r="S905" s="976"/>
      <c r="T905" s="976"/>
      <c r="U905" s="976"/>
      <c r="V905" s="976"/>
      <c r="W905" s="976"/>
      <c r="X905" s="976"/>
      <c r="Y905" s="976"/>
      <c r="Z905" s="976"/>
      <c r="AA905" s="976"/>
      <c r="AB905" s="976"/>
      <c r="AC905" s="976"/>
      <c r="AD905" s="976"/>
    </row>
    <row r="906" spans="8:8">
      <c r="A906" s="976"/>
      <c r="B906" s="976"/>
      <c r="C906" s="976"/>
      <c r="D906" s="976"/>
      <c r="E906" s="977"/>
      <c r="F906" s="976"/>
      <c r="G906" s="976"/>
      <c r="H906" s="976"/>
      <c r="I906" s="976"/>
      <c r="J906" s="976"/>
      <c r="K906" s="976"/>
      <c r="L906" s="976"/>
      <c r="M906" s="976"/>
      <c r="N906" s="976"/>
      <c r="O906" s="976"/>
      <c r="P906" s="976"/>
      <c r="Q906" s="976"/>
      <c r="R906" s="976"/>
      <c r="S906" s="976"/>
      <c r="T906" s="976"/>
      <c r="U906" s="976"/>
      <c r="V906" s="976"/>
      <c r="W906" s="976"/>
      <c r="X906" s="976"/>
      <c r="Y906" s="976"/>
      <c r="Z906" s="976"/>
      <c r="AA906" s="976"/>
      <c r="AB906" s="976"/>
      <c r="AC906" s="976"/>
      <c r="AD906" s="976"/>
    </row>
    <row r="907" spans="8:8">
      <c r="A907" s="976"/>
      <c r="B907" s="976"/>
      <c r="C907" s="976"/>
      <c r="D907" s="976"/>
      <c r="E907" s="977"/>
      <c r="F907" s="976"/>
      <c r="G907" s="976"/>
      <c r="H907" s="976"/>
      <c r="I907" s="976"/>
      <c r="J907" s="976"/>
      <c r="K907" s="976"/>
      <c r="L907" s="976"/>
      <c r="M907" s="976"/>
      <c r="N907" s="976"/>
      <c r="O907" s="976"/>
      <c r="P907" s="976"/>
      <c r="Q907" s="976"/>
      <c r="R907" s="976"/>
      <c r="S907" s="976"/>
      <c r="T907" s="976"/>
      <c r="U907" s="976"/>
      <c r="V907" s="976"/>
      <c r="W907" s="976"/>
      <c r="X907" s="976"/>
      <c r="Y907" s="976"/>
      <c r="Z907" s="976"/>
      <c r="AA907" s="976"/>
      <c r="AB907" s="976"/>
      <c r="AC907" s="976"/>
      <c r="AD907" s="976"/>
    </row>
    <row r="908" spans="8:8">
      <c r="A908" s="976"/>
      <c r="B908" s="976"/>
      <c r="C908" s="976"/>
      <c r="D908" s="976"/>
      <c r="E908" s="977"/>
      <c r="F908" s="976"/>
      <c r="G908" s="976"/>
      <c r="H908" s="976"/>
      <c r="I908" s="976"/>
      <c r="J908" s="976"/>
      <c r="K908" s="976"/>
      <c r="L908" s="976"/>
      <c r="M908" s="976"/>
      <c r="N908" s="976"/>
      <c r="O908" s="976"/>
      <c r="P908" s="976"/>
      <c r="Q908" s="976"/>
      <c r="R908" s="976"/>
      <c r="S908" s="976"/>
      <c r="T908" s="976"/>
      <c r="U908" s="976"/>
      <c r="V908" s="976"/>
      <c r="W908" s="976"/>
      <c r="X908" s="976"/>
      <c r="Y908" s="976"/>
      <c r="Z908" s="976"/>
      <c r="AA908" s="976"/>
      <c r="AB908" s="976"/>
      <c r="AC908" s="976"/>
      <c r="AD908" s="976"/>
    </row>
    <row r="909" spans="8:8">
      <c r="A909" s="976"/>
      <c r="B909" s="976"/>
      <c r="C909" s="976"/>
      <c r="D909" s="976"/>
      <c r="E909" s="977"/>
      <c r="F909" s="976"/>
      <c r="G909" s="976"/>
      <c r="H909" s="976"/>
      <c r="I909" s="976"/>
      <c r="J909" s="976"/>
      <c r="K909" s="976"/>
      <c r="L909" s="976"/>
      <c r="M909" s="976"/>
      <c r="N909" s="976"/>
      <c r="O909" s="976"/>
      <c r="P909" s="976"/>
      <c r="Q909" s="976"/>
      <c r="R909" s="976"/>
      <c r="S909" s="976"/>
      <c r="T909" s="976"/>
      <c r="U909" s="976"/>
      <c r="V909" s="976"/>
      <c r="W909" s="976"/>
      <c r="X909" s="976"/>
      <c r="Y909" s="976"/>
      <c r="Z909" s="976"/>
      <c r="AA909" s="976"/>
      <c r="AB909" s="976"/>
      <c r="AC909" s="976"/>
      <c r="AD909" s="976"/>
    </row>
    <row r="910" spans="8:8">
      <c r="A910" s="976"/>
      <c r="B910" s="976"/>
      <c r="C910" s="976"/>
      <c r="D910" s="976"/>
      <c r="E910" s="977"/>
      <c r="F910" s="976"/>
      <c r="G910" s="976"/>
      <c r="H910" s="976"/>
      <c r="I910" s="976"/>
      <c r="J910" s="976"/>
      <c r="K910" s="976"/>
      <c r="L910" s="976"/>
      <c r="M910" s="976"/>
      <c r="N910" s="976"/>
      <c r="O910" s="976"/>
      <c r="P910" s="976"/>
      <c r="Q910" s="976"/>
      <c r="R910" s="976"/>
      <c r="S910" s="976"/>
      <c r="T910" s="976"/>
      <c r="U910" s="976"/>
      <c r="V910" s="976"/>
      <c r="W910" s="976"/>
      <c r="X910" s="976"/>
      <c r="Y910" s="976"/>
      <c r="Z910" s="976"/>
      <c r="AA910" s="976"/>
      <c r="AB910" s="976"/>
      <c r="AC910" s="976"/>
      <c r="AD910" s="976"/>
    </row>
    <row r="911" spans="8:8">
      <c r="A911" s="976"/>
      <c r="B911" s="976"/>
      <c r="C911" s="976"/>
      <c r="D911" s="976"/>
      <c r="E911" s="977"/>
      <c r="F911" s="976"/>
      <c r="G911" s="976"/>
      <c r="H911" s="976"/>
      <c r="I911" s="976"/>
      <c r="J911" s="976"/>
      <c r="K911" s="976"/>
      <c r="L911" s="976"/>
      <c r="M911" s="976"/>
      <c r="N911" s="976"/>
      <c r="O911" s="976"/>
      <c r="P911" s="976"/>
      <c r="Q911" s="976"/>
      <c r="R911" s="976"/>
      <c r="S911" s="976"/>
      <c r="T911" s="976"/>
      <c r="U911" s="976"/>
      <c r="V911" s="976"/>
      <c r="W911" s="976"/>
      <c r="X911" s="976"/>
      <c r="Y911" s="976"/>
      <c r="Z911" s="976"/>
      <c r="AA911" s="976"/>
      <c r="AB911" s="976"/>
      <c r="AC911" s="976"/>
      <c r="AD911" s="976"/>
    </row>
    <row r="912" spans="8:8">
      <c r="A912" s="976"/>
      <c r="B912" s="976"/>
      <c r="C912" s="976"/>
      <c r="D912" s="976"/>
      <c r="E912" s="977"/>
      <c r="F912" s="976"/>
      <c r="G912" s="976"/>
      <c r="H912" s="976"/>
      <c r="I912" s="976"/>
      <c r="J912" s="976"/>
      <c r="K912" s="976"/>
      <c r="L912" s="976"/>
      <c r="M912" s="976"/>
      <c r="N912" s="976"/>
      <c r="O912" s="976"/>
      <c r="P912" s="976"/>
      <c r="Q912" s="976"/>
      <c r="R912" s="976"/>
      <c r="S912" s="976"/>
      <c r="T912" s="976"/>
      <c r="U912" s="976"/>
      <c r="V912" s="976"/>
      <c r="W912" s="976"/>
      <c r="X912" s="976"/>
      <c r="Y912" s="976"/>
      <c r="Z912" s="976"/>
      <c r="AA912" s="976"/>
      <c r="AB912" s="976"/>
      <c r="AC912" s="976"/>
      <c r="AD912" s="976"/>
    </row>
    <row r="913" spans="8:8">
      <c r="A913" s="976"/>
      <c r="B913" s="976"/>
      <c r="C913" s="976"/>
      <c r="D913" s="976"/>
      <c r="E913" s="977"/>
      <c r="F913" s="976"/>
      <c r="G913" s="976"/>
      <c r="H913" s="976"/>
      <c r="I913" s="976"/>
      <c r="J913" s="976"/>
      <c r="K913" s="976"/>
      <c r="L913" s="976"/>
      <c r="M913" s="976"/>
      <c r="N913" s="976"/>
      <c r="O913" s="976"/>
      <c r="P913" s="976"/>
      <c r="Q913" s="976"/>
      <c r="R913" s="976"/>
      <c r="S913" s="976"/>
      <c r="T913" s="976"/>
      <c r="U913" s="976"/>
      <c r="V913" s="976"/>
      <c r="W913" s="976"/>
      <c r="X913" s="976"/>
      <c r="Y913" s="976"/>
      <c r="Z913" s="976"/>
      <c r="AA913" s="976"/>
      <c r="AB913" s="976"/>
      <c r="AC913" s="976"/>
      <c r="AD913" s="976"/>
    </row>
    <row r="914" spans="8:8">
      <c r="A914" s="976"/>
      <c r="B914" s="976"/>
      <c r="C914" s="976"/>
      <c r="D914" s="976"/>
      <c r="E914" s="977"/>
      <c r="F914" s="976"/>
      <c r="G914" s="976"/>
      <c r="H914" s="976"/>
      <c r="I914" s="976"/>
      <c r="J914" s="976"/>
      <c r="K914" s="976"/>
      <c r="L914" s="976"/>
      <c r="M914" s="976"/>
      <c r="N914" s="976"/>
      <c r="O914" s="976"/>
      <c r="P914" s="976"/>
      <c r="Q914" s="976"/>
      <c r="R914" s="976"/>
      <c r="S914" s="976"/>
      <c r="T914" s="976"/>
      <c r="U914" s="976"/>
      <c r="V914" s="976"/>
      <c r="W914" s="976"/>
      <c r="X914" s="976"/>
      <c r="Y914" s="976"/>
      <c r="Z914" s="976"/>
      <c r="AA914" s="976"/>
      <c r="AB914" s="976"/>
      <c r="AC914" s="976"/>
      <c r="AD914" s="976"/>
    </row>
    <row r="915" spans="8:8">
      <c r="A915" s="976"/>
      <c r="B915" s="976"/>
      <c r="C915" s="976"/>
      <c r="D915" s="976"/>
      <c r="E915" s="977"/>
      <c r="F915" s="976"/>
      <c r="G915" s="976"/>
      <c r="H915" s="976"/>
      <c r="I915" s="976"/>
      <c r="J915" s="976"/>
      <c r="K915" s="976"/>
      <c r="L915" s="976"/>
      <c r="M915" s="976"/>
      <c r="N915" s="976"/>
      <c r="O915" s="976"/>
      <c r="P915" s="976"/>
      <c r="Q915" s="976"/>
      <c r="R915" s="976"/>
      <c r="S915" s="976"/>
      <c r="T915" s="976"/>
      <c r="U915" s="976"/>
      <c r="V915" s="976"/>
      <c r="W915" s="976"/>
      <c r="X915" s="976"/>
      <c r="Y915" s="976"/>
      <c r="Z915" s="976"/>
      <c r="AA915" s="976"/>
      <c r="AB915" s="976"/>
      <c r="AC915" s="976"/>
      <c r="AD915" s="976"/>
    </row>
    <row r="916" spans="8:8">
      <c r="A916" s="976"/>
      <c r="B916" s="976"/>
      <c r="C916" s="976"/>
      <c r="D916" s="976"/>
      <c r="E916" s="977"/>
      <c r="F916" s="976"/>
      <c r="G916" s="976"/>
      <c r="H916" s="976"/>
      <c r="I916" s="976"/>
      <c r="J916" s="976"/>
      <c r="K916" s="976"/>
      <c r="L916" s="976"/>
      <c r="M916" s="976"/>
      <c r="N916" s="976"/>
      <c r="O916" s="976"/>
      <c r="P916" s="976"/>
      <c r="Q916" s="976"/>
      <c r="R916" s="976"/>
      <c r="S916" s="976"/>
      <c r="T916" s="976"/>
      <c r="U916" s="976"/>
      <c r="V916" s="976"/>
      <c r="W916" s="976"/>
      <c r="X916" s="976"/>
      <c r="Y916" s="976"/>
      <c r="Z916" s="976"/>
      <c r="AA916" s="976"/>
      <c r="AB916" s="976"/>
      <c r="AC916" s="976"/>
      <c r="AD916" s="976"/>
    </row>
    <row r="917" spans="8:8">
      <c r="A917" s="976"/>
      <c r="B917" s="976"/>
      <c r="C917" s="976"/>
      <c r="D917" s="976"/>
      <c r="E917" s="977"/>
      <c r="F917" s="976"/>
      <c r="G917" s="976"/>
      <c r="H917" s="976"/>
      <c r="I917" s="976"/>
      <c r="J917" s="976"/>
      <c r="K917" s="976"/>
      <c r="L917" s="976"/>
      <c r="M917" s="976"/>
      <c r="N917" s="976"/>
      <c r="O917" s="976"/>
      <c r="P917" s="976"/>
      <c r="Q917" s="976"/>
      <c r="R917" s="976"/>
      <c r="S917" s="976"/>
      <c r="T917" s="976"/>
      <c r="U917" s="976"/>
      <c r="V917" s="976"/>
      <c r="W917" s="976"/>
      <c r="X917" s="976"/>
      <c r="Y917" s="976"/>
      <c r="Z917" s="976"/>
      <c r="AA917" s="976"/>
      <c r="AB917" s="976"/>
      <c r="AC917" s="976"/>
      <c r="AD917" s="976"/>
    </row>
    <row r="918" spans="8:8">
      <c r="A918" s="976"/>
      <c r="B918" s="976"/>
      <c r="C918" s="976"/>
      <c r="D918" s="976"/>
      <c r="E918" s="977"/>
      <c r="F918" s="976"/>
      <c r="G918" s="976"/>
      <c r="H918" s="976"/>
      <c r="I918" s="976"/>
      <c r="J918" s="976"/>
      <c r="K918" s="976"/>
      <c r="L918" s="976"/>
      <c r="M918" s="976"/>
      <c r="N918" s="976"/>
      <c r="O918" s="976"/>
      <c r="P918" s="976"/>
      <c r="Q918" s="976"/>
      <c r="R918" s="976"/>
      <c r="S918" s="976"/>
      <c r="T918" s="976"/>
      <c r="U918" s="976"/>
      <c r="V918" s="976"/>
      <c r="W918" s="976"/>
      <c r="X918" s="976"/>
      <c r="Y918" s="976"/>
      <c r="Z918" s="976"/>
      <c r="AA918" s="976"/>
      <c r="AB918" s="976"/>
      <c r="AC918" s="976"/>
      <c r="AD918" s="976"/>
    </row>
    <row r="919" spans="8:8">
      <c r="A919" s="976"/>
      <c r="B919" s="976"/>
      <c r="C919" s="976"/>
      <c r="D919" s="976"/>
      <c r="E919" s="977"/>
      <c r="F919" s="976"/>
      <c r="G919" s="976"/>
      <c r="H919" s="976"/>
      <c r="I919" s="976"/>
      <c r="J919" s="976"/>
      <c r="K919" s="976"/>
      <c r="L919" s="976"/>
      <c r="M919" s="976"/>
      <c r="N919" s="976"/>
      <c r="O919" s="976"/>
      <c r="P919" s="976"/>
      <c r="Q919" s="976"/>
      <c r="R919" s="976"/>
      <c r="S919" s="976"/>
      <c r="T919" s="976"/>
      <c r="U919" s="976"/>
      <c r="V919" s="976"/>
      <c r="W919" s="976"/>
      <c r="X919" s="976"/>
      <c r="Y919" s="976"/>
      <c r="Z919" s="976"/>
      <c r="AA919" s="976"/>
      <c r="AB919" s="976"/>
      <c r="AC919" s="976"/>
      <c r="AD919" s="976"/>
    </row>
    <row r="920" spans="8:8">
      <c r="A920" s="976"/>
      <c r="B920" s="976"/>
      <c r="C920" s="976"/>
      <c r="D920" s="976"/>
      <c r="E920" s="977"/>
      <c r="F920" s="976"/>
      <c r="G920" s="976"/>
      <c r="H920" s="976"/>
      <c r="I920" s="976"/>
      <c r="J920" s="976"/>
      <c r="K920" s="976"/>
      <c r="L920" s="976"/>
      <c r="M920" s="976"/>
      <c r="N920" s="976"/>
      <c r="O920" s="976"/>
      <c r="P920" s="976"/>
      <c r="Q920" s="976"/>
      <c r="R920" s="976"/>
      <c r="S920" s="976"/>
      <c r="T920" s="976"/>
      <c r="U920" s="976"/>
      <c r="V920" s="976"/>
      <c r="W920" s="976"/>
      <c r="X920" s="976"/>
      <c r="Y920" s="976"/>
      <c r="Z920" s="976"/>
      <c r="AA920" s="976"/>
      <c r="AB920" s="976"/>
      <c r="AC920" s="976"/>
      <c r="AD920" s="976"/>
    </row>
    <row r="921" spans="8:8">
      <c r="A921" s="976"/>
      <c r="B921" s="976"/>
      <c r="C921" s="976"/>
      <c r="D921" s="976"/>
      <c r="E921" s="977"/>
      <c r="F921" s="976"/>
      <c r="G921" s="976"/>
      <c r="H921" s="976"/>
      <c r="I921" s="976"/>
      <c r="J921" s="976"/>
      <c r="K921" s="976"/>
      <c r="L921" s="976"/>
      <c r="M921" s="976"/>
      <c r="N921" s="976"/>
      <c r="O921" s="976"/>
      <c r="P921" s="976"/>
      <c r="Q921" s="976"/>
      <c r="R921" s="976"/>
      <c r="S921" s="976"/>
      <c r="T921" s="976"/>
      <c r="U921" s="976"/>
      <c r="V921" s="976"/>
      <c r="W921" s="976"/>
      <c r="X921" s="976"/>
      <c r="Y921" s="976"/>
      <c r="Z921" s="976"/>
      <c r="AA921" s="976"/>
      <c r="AB921" s="976"/>
      <c r="AC921" s="976"/>
      <c r="AD921" s="976"/>
    </row>
    <row r="922" spans="8:8">
      <c r="A922" s="976"/>
      <c r="B922" s="976"/>
      <c r="C922" s="976"/>
      <c r="D922" s="976"/>
      <c r="E922" s="977"/>
      <c r="F922" s="976"/>
      <c r="G922" s="976"/>
      <c r="H922" s="976"/>
      <c r="I922" s="976"/>
      <c r="J922" s="976"/>
      <c r="K922" s="976"/>
      <c r="L922" s="976"/>
      <c r="M922" s="976"/>
      <c r="N922" s="976"/>
      <c r="O922" s="976"/>
      <c r="P922" s="976"/>
      <c r="Q922" s="976"/>
      <c r="R922" s="976"/>
      <c r="S922" s="976"/>
      <c r="T922" s="976"/>
      <c r="U922" s="976"/>
      <c r="V922" s="976"/>
      <c r="W922" s="976"/>
      <c r="X922" s="976"/>
      <c r="Y922" s="976"/>
      <c r="Z922" s="976"/>
      <c r="AA922" s="976"/>
      <c r="AB922" s="976"/>
      <c r="AC922" s="976"/>
      <c r="AD922" s="976"/>
    </row>
    <row r="923" spans="8:8">
      <c r="A923" s="976"/>
      <c r="B923" s="976"/>
      <c r="C923" s="976"/>
      <c r="D923" s="976"/>
      <c r="E923" s="977"/>
      <c r="F923" s="976"/>
      <c r="G923" s="976"/>
      <c r="H923" s="976"/>
      <c r="I923" s="976"/>
      <c r="J923" s="976"/>
      <c r="K923" s="976"/>
      <c r="L923" s="976"/>
      <c r="M923" s="976"/>
      <c r="N923" s="976"/>
      <c r="O923" s="976"/>
      <c r="P923" s="976"/>
      <c r="Q923" s="976"/>
      <c r="R923" s="976"/>
      <c r="S923" s="976"/>
      <c r="T923" s="976"/>
      <c r="U923" s="976"/>
      <c r="V923" s="976"/>
      <c r="W923" s="976"/>
      <c r="X923" s="976"/>
      <c r="Y923" s="976"/>
      <c r="Z923" s="976"/>
      <c r="AA923" s="976"/>
      <c r="AB923" s="976"/>
      <c r="AC923" s="976"/>
      <c r="AD923" s="976"/>
    </row>
    <row r="924" spans="8:8">
      <c r="A924" s="976"/>
      <c r="B924" s="976"/>
      <c r="C924" s="976"/>
      <c r="D924" s="976"/>
      <c r="E924" s="977"/>
      <c r="F924" s="976"/>
      <c r="G924" s="976"/>
      <c r="H924" s="976"/>
      <c r="I924" s="976"/>
      <c r="J924" s="976"/>
      <c r="K924" s="976"/>
      <c r="L924" s="976"/>
      <c r="M924" s="976"/>
      <c r="N924" s="976"/>
      <c r="O924" s="976"/>
      <c r="P924" s="976"/>
      <c r="Q924" s="976"/>
      <c r="R924" s="976"/>
      <c r="S924" s="976"/>
      <c r="T924" s="976"/>
      <c r="U924" s="976"/>
      <c r="V924" s="976"/>
      <c r="W924" s="976"/>
      <c r="X924" s="976"/>
      <c r="Y924" s="976"/>
      <c r="Z924" s="976"/>
      <c r="AA924" s="976"/>
      <c r="AB924" s="976"/>
      <c r="AC924" s="976"/>
      <c r="AD924" s="976"/>
    </row>
    <row r="925" spans="8:8">
      <c r="A925" s="976"/>
      <c r="B925" s="976"/>
      <c r="C925" s="976"/>
      <c r="D925" s="976"/>
      <c r="E925" s="977"/>
      <c r="F925" s="976"/>
      <c r="G925" s="976"/>
      <c r="H925" s="976"/>
      <c r="I925" s="976"/>
      <c r="J925" s="976"/>
      <c r="K925" s="976"/>
      <c r="L925" s="976"/>
      <c r="M925" s="976"/>
      <c r="N925" s="976"/>
      <c r="O925" s="976"/>
      <c r="P925" s="976"/>
      <c r="Q925" s="976"/>
      <c r="R925" s="976"/>
      <c r="S925" s="976"/>
      <c r="T925" s="976"/>
      <c r="U925" s="976"/>
      <c r="V925" s="976"/>
      <c r="W925" s="976"/>
      <c r="X925" s="976"/>
      <c r="Y925" s="976"/>
      <c r="Z925" s="976"/>
      <c r="AA925" s="976"/>
      <c r="AB925" s="976"/>
      <c r="AC925" s="976"/>
      <c r="AD925" s="976"/>
    </row>
    <row r="926" spans="8:8">
      <c r="A926" s="976"/>
      <c r="B926" s="976"/>
      <c r="C926" s="976"/>
      <c r="D926" s="976"/>
      <c r="E926" s="977"/>
      <c r="F926" s="976"/>
      <c r="G926" s="976"/>
      <c r="H926" s="976"/>
      <c r="I926" s="976"/>
      <c r="J926" s="976"/>
      <c r="K926" s="976"/>
      <c r="L926" s="976"/>
      <c r="M926" s="976"/>
      <c r="N926" s="976"/>
      <c r="O926" s="976"/>
      <c r="P926" s="976"/>
      <c r="Q926" s="976"/>
      <c r="R926" s="976"/>
      <c r="S926" s="976"/>
      <c r="T926" s="976"/>
      <c r="U926" s="976"/>
      <c r="V926" s="976"/>
      <c r="W926" s="976"/>
      <c r="X926" s="976"/>
      <c r="Y926" s="976"/>
      <c r="Z926" s="976"/>
      <c r="AA926" s="976"/>
      <c r="AB926" s="976"/>
      <c r="AC926" s="976"/>
      <c r="AD926" s="976"/>
    </row>
    <row r="927" spans="8:8">
      <c r="A927" s="976"/>
      <c r="B927" s="976"/>
      <c r="C927" s="976"/>
      <c r="D927" s="976"/>
      <c r="E927" s="977"/>
      <c r="F927" s="976"/>
      <c r="G927" s="976"/>
      <c r="H927" s="976"/>
      <c r="I927" s="976"/>
      <c r="J927" s="976"/>
      <c r="K927" s="976"/>
      <c r="L927" s="976"/>
      <c r="M927" s="976"/>
      <c r="N927" s="976"/>
      <c r="O927" s="976"/>
      <c r="P927" s="976"/>
      <c r="Q927" s="976"/>
      <c r="R927" s="976"/>
      <c r="S927" s="976"/>
      <c r="T927" s="976"/>
      <c r="U927" s="976"/>
      <c r="V927" s="976"/>
      <c r="W927" s="976"/>
      <c r="X927" s="976"/>
      <c r="Y927" s="976"/>
      <c r="Z927" s="976"/>
      <c r="AA927" s="976"/>
      <c r="AB927" s="976"/>
      <c r="AC927" s="976"/>
      <c r="AD927" s="976"/>
    </row>
    <row r="928" spans="8:8">
      <c r="A928" s="976"/>
      <c r="B928" s="976"/>
      <c r="C928" s="976"/>
      <c r="D928" s="976"/>
      <c r="E928" s="977"/>
      <c r="F928" s="976"/>
      <c r="G928" s="976"/>
      <c r="H928" s="976"/>
      <c r="I928" s="976"/>
      <c r="J928" s="976"/>
      <c r="K928" s="976"/>
      <c r="L928" s="976"/>
      <c r="M928" s="976"/>
      <c r="N928" s="976"/>
      <c r="O928" s="976"/>
      <c r="P928" s="976"/>
      <c r="Q928" s="976"/>
      <c r="R928" s="976"/>
      <c r="S928" s="976"/>
      <c r="T928" s="976"/>
      <c r="U928" s="976"/>
      <c r="V928" s="976"/>
      <c r="W928" s="976"/>
      <c r="X928" s="976"/>
      <c r="Y928" s="976"/>
      <c r="Z928" s="976"/>
      <c r="AA928" s="976"/>
      <c r="AB928" s="976"/>
      <c r="AC928" s="976"/>
      <c r="AD928" s="976"/>
    </row>
    <row r="929" spans="8:8">
      <c r="A929" s="976"/>
      <c r="B929" s="976"/>
      <c r="C929" s="976"/>
      <c r="D929" s="976"/>
      <c r="E929" s="977"/>
      <c r="F929" s="976"/>
      <c r="G929" s="976"/>
      <c r="H929" s="976"/>
      <c r="I929" s="976"/>
      <c r="J929" s="976"/>
      <c r="K929" s="976"/>
      <c r="L929" s="976"/>
      <c r="M929" s="976"/>
      <c r="N929" s="976"/>
      <c r="O929" s="976"/>
      <c r="P929" s="976"/>
      <c r="Q929" s="976"/>
      <c r="R929" s="976"/>
      <c r="S929" s="976"/>
      <c r="T929" s="976"/>
      <c r="U929" s="976"/>
      <c r="V929" s="976"/>
      <c r="W929" s="976"/>
      <c r="X929" s="976"/>
      <c r="Y929" s="976"/>
      <c r="Z929" s="976"/>
      <c r="AA929" s="976"/>
      <c r="AB929" s="976"/>
      <c r="AC929" s="976"/>
      <c r="AD929" s="976"/>
    </row>
    <row r="930" spans="8:8">
      <c r="A930" s="976"/>
      <c r="B930" s="976"/>
      <c r="C930" s="976"/>
      <c r="D930" s="976"/>
      <c r="E930" s="977"/>
      <c r="F930" s="976"/>
      <c r="G930" s="976"/>
      <c r="H930" s="976"/>
      <c r="I930" s="976"/>
      <c r="J930" s="976"/>
      <c r="K930" s="976"/>
      <c r="L930" s="976"/>
      <c r="M930" s="976"/>
      <c r="N930" s="976"/>
      <c r="O930" s="976"/>
      <c r="P930" s="976"/>
      <c r="Q930" s="976"/>
      <c r="R930" s="976"/>
      <c r="S930" s="976"/>
      <c r="T930" s="976"/>
      <c r="U930" s="976"/>
      <c r="V930" s="976"/>
      <c r="W930" s="976"/>
      <c r="X930" s="976"/>
      <c r="Y930" s="976"/>
      <c r="Z930" s="976"/>
      <c r="AA930" s="976"/>
      <c r="AB930" s="976"/>
      <c r="AC930" s="976"/>
      <c r="AD930" s="976"/>
    </row>
    <row r="931" spans="8:8">
      <c r="A931" s="976"/>
      <c r="B931" s="976"/>
      <c r="C931" s="976"/>
      <c r="D931" s="976"/>
      <c r="E931" s="977"/>
      <c r="F931" s="976"/>
      <c r="G931" s="976"/>
      <c r="H931" s="976"/>
      <c r="I931" s="976"/>
      <c r="J931" s="976"/>
      <c r="K931" s="976"/>
      <c r="L931" s="976"/>
      <c r="M931" s="976"/>
      <c r="N931" s="976"/>
      <c r="O931" s="976"/>
      <c r="P931" s="976"/>
      <c r="Q931" s="976"/>
      <c r="R931" s="976"/>
      <c r="S931" s="976"/>
      <c r="T931" s="976"/>
      <c r="U931" s="976"/>
      <c r="V931" s="976"/>
      <c r="W931" s="976"/>
      <c r="X931" s="976"/>
      <c r="Y931" s="976"/>
      <c r="Z931" s="976"/>
      <c r="AA931" s="976"/>
      <c r="AB931" s="976"/>
      <c r="AC931" s="976"/>
      <c r="AD931" s="976"/>
    </row>
    <row r="932" spans="8:8">
      <c r="A932" s="976"/>
      <c r="B932" s="976"/>
      <c r="C932" s="976"/>
      <c r="D932" s="976"/>
      <c r="E932" s="977"/>
      <c r="F932" s="976"/>
      <c r="G932" s="976"/>
      <c r="H932" s="976"/>
      <c r="I932" s="976"/>
      <c r="J932" s="976"/>
      <c r="K932" s="976"/>
      <c r="L932" s="976"/>
      <c r="M932" s="976"/>
      <c r="N932" s="976"/>
      <c r="O932" s="976"/>
      <c r="P932" s="976"/>
      <c r="Q932" s="976"/>
      <c r="R932" s="976"/>
      <c r="S932" s="976"/>
      <c r="T932" s="976"/>
      <c r="U932" s="976"/>
      <c r="V932" s="976"/>
      <c r="W932" s="976"/>
      <c r="X932" s="976"/>
      <c r="Y932" s="976"/>
      <c r="Z932" s="976"/>
      <c r="AA932" s="976"/>
      <c r="AB932" s="976"/>
      <c r="AC932" s="976"/>
      <c r="AD932" s="976"/>
    </row>
    <row r="933" spans="8:8">
      <c r="A933" s="976"/>
      <c r="B933" s="976"/>
      <c r="C933" s="976"/>
      <c r="D933" s="976"/>
      <c r="E933" s="977"/>
      <c r="F933" s="976"/>
      <c r="G933" s="976"/>
      <c r="H933" s="976"/>
      <c r="I933" s="976"/>
      <c r="J933" s="976"/>
      <c r="K933" s="976"/>
      <c r="L933" s="976"/>
      <c r="M933" s="976"/>
      <c r="N933" s="976"/>
      <c r="O933" s="976"/>
      <c r="P933" s="976"/>
      <c r="Q933" s="976"/>
      <c r="R933" s="976"/>
      <c r="S933" s="976"/>
      <c r="T933" s="976"/>
      <c r="U933" s="976"/>
      <c r="V933" s="976"/>
      <c r="W933" s="976"/>
      <c r="X933" s="976"/>
      <c r="Y933" s="976"/>
      <c r="Z933" s="976"/>
      <c r="AA933" s="976"/>
      <c r="AB933" s="976"/>
      <c r="AC933" s="976"/>
      <c r="AD933" s="976"/>
    </row>
    <row r="934" spans="8:8">
      <c r="A934" s="976"/>
      <c r="B934" s="976"/>
      <c r="C934" s="976"/>
      <c r="D934" s="976"/>
      <c r="E934" s="977"/>
      <c r="F934" s="976"/>
      <c r="G934" s="976"/>
      <c r="H934" s="976"/>
      <c r="I934" s="976"/>
      <c r="J934" s="976"/>
      <c r="K934" s="976"/>
      <c r="L934" s="976"/>
      <c r="M934" s="976"/>
      <c r="N934" s="976"/>
      <c r="O934" s="976"/>
      <c r="P934" s="976"/>
      <c r="Q934" s="976"/>
      <c r="R934" s="976"/>
      <c r="S934" s="976"/>
      <c r="T934" s="976"/>
      <c r="U934" s="976"/>
      <c r="V934" s="976"/>
      <c r="W934" s="976"/>
      <c r="X934" s="976"/>
      <c r="Y934" s="976"/>
      <c r="Z934" s="976"/>
      <c r="AA934" s="976"/>
      <c r="AB934" s="976"/>
      <c r="AC934" s="976"/>
      <c r="AD934" s="976"/>
    </row>
    <row r="935" spans="8:8">
      <c r="A935" s="976"/>
      <c r="B935" s="976"/>
      <c r="C935" s="976"/>
      <c r="D935" s="976"/>
      <c r="E935" s="977"/>
      <c r="F935" s="976"/>
      <c r="G935" s="976"/>
      <c r="H935" s="976"/>
      <c r="I935" s="976"/>
      <c r="J935" s="976"/>
      <c r="K935" s="976"/>
      <c r="L935" s="976"/>
      <c r="M935" s="976"/>
      <c r="N935" s="976"/>
      <c r="O935" s="976"/>
      <c r="P935" s="976"/>
      <c r="Q935" s="976"/>
      <c r="R935" s="976"/>
      <c r="S935" s="976"/>
      <c r="T935" s="976"/>
      <c r="U935" s="976"/>
      <c r="V935" s="976"/>
      <c r="W935" s="976"/>
      <c r="X935" s="976"/>
      <c r="Y935" s="976"/>
      <c r="Z935" s="976"/>
      <c r="AA935" s="976"/>
      <c r="AB935" s="976"/>
      <c r="AC935" s="976"/>
      <c r="AD935" s="976"/>
    </row>
    <row r="936" spans="8:8">
      <c r="A936" s="976"/>
      <c r="B936" s="976"/>
      <c r="C936" s="976"/>
      <c r="D936" s="976"/>
      <c r="E936" s="977"/>
      <c r="F936" s="976"/>
      <c r="G936" s="976"/>
      <c r="H936" s="976"/>
      <c r="I936" s="976"/>
      <c r="J936" s="976"/>
      <c r="K936" s="976"/>
      <c r="L936" s="976"/>
      <c r="M936" s="976"/>
      <c r="N936" s="976"/>
      <c r="O936" s="976"/>
      <c r="P936" s="976"/>
      <c r="Q936" s="976"/>
      <c r="R936" s="976"/>
      <c r="S936" s="976"/>
      <c r="T936" s="976"/>
      <c r="U936" s="976"/>
      <c r="V936" s="976"/>
      <c r="W936" s="976"/>
      <c r="X936" s="976"/>
      <c r="Y936" s="976"/>
      <c r="Z936" s="976"/>
      <c r="AA936" s="976"/>
      <c r="AB936" s="976"/>
      <c r="AC936" s="976"/>
      <c r="AD936" s="976"/>
    </row>
    <row r="937" spans="8:8">
      <c r="A937" s="976"/>
      <c r="B937" s="976"/>
      <c r="C937" s="976"/>
      <c r="D937" s="976"/>
      <c r="E937" s="977"/>
      <c r="F937" s="976"/>
      <c r="G937" s="976"/>
      <c r="H937" s="976"/>
      <c r="I937" s="976"/>
      <c r="J937" s="976"/>
      <c r="K937" s="976"/>
      <c r="L937" s="976"/>
      <c r="M937" s="976"/>
      <c r="N937" s="976"/>
      <c r="O937" s="976"/>
      <c r="P937" s="976"/>
      <c r="Q937" s="976"/>
      <c r="R937" s="976"/>
      <c r="S937" s="976"/>
      <c r="T937" s="976"/>
      <c r="U937" s="976"/>
      <c r="V937" s="976"/>
      <c r="W937" s="976"/>
      <c r="X937" s="976"/>
      <c r="Y937" s="976"/>
      <c r="Z937" s="976"/>
      <c r="AA937" s="976"/>
      <c r="AB937" s="976"/>
      <c r="AC937" s="976"/>
      <c r="AD937" s="976"/>
    </row>
    <row r="938" spans="8:8">
      <c r="A938" s="976"/>
      <c r="B938" s="976"/>
      <c r="C938" s="976"/>
      <c r="D938" s="976"/>
      <c r="E938" s="977"/>
      <c r="F938" s="976"/>
      <c r="G938" s="976"/>
      <c r="H938" s="976"/>
      <c r="I938" s="976"/>
      <c r="J938" s="976"/>
      <c r="K938" s="976"/>
      <c r="L938" s="976"/>
      <c r="M938" s="976"/>
      <c r="N938" s="976"/>
      <c r="O938" s="976"/>
      <c r="P938" s="976"/>
      <c r="Q938" s="976"/>
      <c r="R938" s="976"/>
      <c r="S938" s="976"/>
      <c r="T938" s="976"/>
      <c r="U938" s="976"/>
      <c r="V938" s="976"/>
      <c r="W938" s="976"/>
      <c r="X938" s="976"/>
      <c r="Y938" s="976"/>
      <c r="Z938" s="976"/>
      <c r="AA938" s="976"/>
      <c r="AB938" s="976"/>
      <c r="AC938" s="976"/>
      <c r="AD938" s="976"/>
    </row>
    <row r="939" spans="8:8">
      <c r="A939" s="976"/>
      <c r="B939" s="976"/>
      <c r="C939" s="976"/>
      <c r="D939" s="976"/>
      <c r="E939" s="977"/>
      <c r="F939" s="976"/>
      <c r="G939" s="976"/>
      <c r="H939" s="976"/>
      <c r="I939" s="976"/>
      <c r="J939" s="976"/>
      <c r="K939" s="976"/>
      <c r="L939" s="976"/>
      <c r="M939" s="976"/>
      <c r="N939" s="976"/>
      <c r="O939" s="976"/>
      <c r="P939" s="976"/>
      <c r="Q939" s="976"/>
      <c r="R939" s="976"/>
      <c r="S939" s="976"/>
      <c r="T939" s="976"/>
      <c r="U939" s="976"/>
      <c r="V939" s="976"/>
      <c r="W939" s="976"/>
      <c r="X939" s="976"/>
      <c r="Y939" s="976"/>
      <c r="Z939" s="976"/>
      <c r="AA939" s="976"/>
      <c r="AB939" s="976"/>
      <c r="AC939" s="976"/>
      <c r="AD939" s="976"/>
    </row>
    <row r="940" spans="8:8">
      <c r="A940" s="976"/>
      <c r="B940" s="976"/>
      <c r="C940" s="976"/>
      <c r="D940" s="976"/>
      <c r="E940" s="977"/>
      <c r="F940" s="976"/>
      <c r="G940" s="976"/>
      <c r="H940" s="976"/>
      <c r="I940" s="976"/>
      <c r="J940" s="976"/>
      <c r="K940" s="976"/>
      <c r="L940" s="976"/>
      <c r="M940" s="976"/>
      <c r="N940" s="976"/>
      <c r="O940" s="976"/>
      <c r="P940" s="976"/>
      <c r="Q940" s="976"/>
      <c r="R940" s="976"/>
      <c r="S940" s="976"/>
      <c r="T940" s="976"/>
      <c r="U940" s="976"/>
      <c r="V940" s="976"/>
      <c r="W940" s="976"/>
      <c r="X940" s="976"/>
      <c r="Y940" s="976"/>
      <c r="Z940" s="976"/>
      <c r="AA940" s="976"/>
      <c r="AB940" s="976"/>
      <c r="AC940" s="976"/>
      <c r="AD940" s="976"/>
    </row>
    <row r="941" spans="8:8">
      <c r="A941" s="976"/>
      <c r="B941" s="976"/>
      <c r="C941" s="976"/>
      <c r="D941" s="976"/>
      <c r="E941" s="977"/>
      <c r="F941" s="976"/>
      <c r="G941" s="976"/>
      <c r="H941" s="976"/>
      <c r="I941" s="976"/>
      <c r="J941" s="976"/>
      <c r="K941" s="976"/>
      <c r="L941" s="976"/>
      <c r="M941" s="976"/>
      <c r="N941" s="976"/>
      <c r="O941" s="976"/>
      <c r="P941" s="976"/>
      <c r="Q941" s="976"/>
      <c r="R941" s="976"/>
      <c r="S941" s="976"/>
      <c r="T941" s="976"/>
      <c r="U941" s="976"/>
      <c r="V941" s="976"/>
      <c r="W941" s="976"/>
      <c r="X941" s="976"/>
      <c r="Y941" s="976"/>
      <c r="Z941" s="976"/>
      <c r="AA941" s="976"/>
      <c r="AB941" s="976"/>
      <c r="AC941" s="976"/>
      <c r="AD941" s="976"/>
    </row>
    <row r="942" spans="8:8">
      <c r="A942" s="976"/>
      <c r="B942" s="976"/>
      <c r="C942" s="976"/>
      <c r="D942" s="976"/>
      <c r="E942" s="977"/>
      <c r="F942" s="976"/>
      <c r="G942" s="976"/>
      <c r="H942" s="976"/>
      <c r="I942" s="976"/>
      <c r="J942" s="976"/>
      <c r="K942" s="976"/>
      <c r="L942" s="976"/>
      <c r="M942" s="976"/>
      <c r="N942" s="976"/>
      <c r="O942" s="976"/>
      <c r="P942" s="976"/>
      <c r="Q942" s="976"/>
      <c r="R942" s="976"/>
      <c r="S942" s="976"/>
      <c r="T942" s="976"/>
      <c r="U942" s="976"/>
      <c r="V942" s="976"/>
      <c r="W942" s="976"/>
      <c r="X942" s="976"/>
      <c r="Y942" s="976"/>
      <c r="Z942" s="976"/>
      <c r="AA942" s="976"/>
      <c r="AB942" s="976"/>
      <c r="AC942" s="976"/>
      <c r="AD942" s="976"/>
    </row>
    <row r="943" spans="8:8">
      <c r="A943" s="976"/>
      <c r="B943" s="976"/>
      <c r="C943" s="976"/>
      <c r="D943" s="976"/>
      <c r="E943" s="977"/>
      <c r="F943" s="976"/>
      <c r="G943" s="976"/>
      <c r="H943" s="976"/>
      <c r="I943" s="976"/>
      <c r="J943" s="976"/>
      <c r="K943" s="976"/>
      <c r="L943" s="976"/>
      <c r="M943" s="976"/>
      <c r="N943" s="976"/>
      <c r="O943" s="976"/>
      <c r="P943" s="976"/>
      <c r="Q943" s="976"/>
      <c r="R943" s="976"/>
      <c r="S943" s="976"/>
      <c r="T943" s="976"/>
      <c r="U943" s="976"/>
      <c r="V943" s="976"/>
      <c r="W943" s="976"/>
      <c r="X943" s="976"/>
      <c r="Y943" s="976"/>
      <c r="Z943" s="976"/>
      <c r="AA943" s="976"/>
      <c r="AB943" s="976"/>
      <c r="AC943" s="976"/>
      <c r="AD943" s="976"/>
    </row>
    <row r="944" spans="8:8">
      <c r="A944" s="976"/>
      <c r="B944" s="976"/>
      <c r="C944" s="976"/>
      <c r="D944" s="976"/>
      <c r="E944" s="977"/>
      <c r="F944" s="976"/>
      <c r="G944" s="976"/>
      <c r="H944" s="976"/>
      <c r="I944" s="976"/>
      <c r="J944" s="976"/>
      <c r="K944" s="976"/>
      <c r="L944" s="976"/>
      <c r="M944" s="976"/>
      <c r="N944" s="976"/>
      <c r="O944" s="976"/>
      <c r="P944" s="976"/>
      <c r="Q944" s="976"/>
      <c r="R944" s="976"/>
      <c r="S944" s="976"/>
      <c r="T944" s="976"/>
      <c r="U944" s="976"/>
      <c r="V944" s="976"/>
      <c r="W944" s="976"/>
      <c r="X944" s="976"/>
      <c r="Y944" s="976"/>
      <c r="Z944" s="976"/>
      <c r="AA944" s="976"/>
      <c r="AB944" s="976"/>
      <c r="AC944" s="976"/>
      <c r="AD944" s="976"/>
    </row>
    <row r="945" spans="8:8">
      <c r="A945" s="976"/>
      <c r="B945" s="976"/>
      <c r="C945" s="976"/>
      <c r="D945" s="976"/>
      <c r="E945" s="977"/>
      <c r="F945" s="976"/>
      <c r="G945" s="976"/>
      <c r="H945" s="976"/>
      <c r="I945" s="976"/>
      <c r="J945" s="976"/>
      <c r="K945" s="976"/>
      <c r="L945" s="976"/>
      <c r="M945" s="976"/>
      <c r="N945" s="976"/>
      <c r="O945" s="976"/>
      <c r="P945" s="976"/>
      <c r="Q945" s="976"/>
      <c r="R945" s="976"/>
      <c r="S945" s="976"/>
      <c r="T945" s="976"/>
      <c r="U945" s="976"/>
      <c r="V945" s="976"/>
      <c r="W945" s="976"/>
      <c r="X945" s="976"/>
      <c r="Y945" s="976"/>
      <c r="Z945" s="976"/>
      <c r="AA945" s="976"/>
      <c r="AB945" s="976"/>
      <c r="AC945" s="976"/>
      <c r="AD945" s="976"/>
    </row>
    <row r="946" spans="8:8">
      <c r="A946" s="976"/>
      <c r="B946" s="976"/>
      <c r="C946" s="976"/>
      <c r="D946" s="976"/>
      <c r="E946" s="977"/>
      <c r="F946" s="976"/>
      <c r="G946" s="976"/>
      <c r="H946" s="976"/>
      <c r="I946" s="976"/>
      <c r="J946" s="976"/>
      <c r="K946" s="976"/>
      <c r="L946" s="976"/>
      <c r="M946" s="976"/>
      <c r="N946" s="976"/>
      <c r="O946" s="976"/>
      <c r="P946" s="976"/>
      <c r="Q946" s="976"/>
      <c r="R946" s="976"/>
      <c r="S946" s="976"/>
      <c r="T946" s="976"/>
      <c r="U946" s="976"/>
      <c r="V946" s="976"/>
      <c r="W946" s="976"/>
      <c r="X946" s="976"/>
      <c r="Y946" s="976"/>
      <c r="Z946" s="976"/>
      <c r="AA946" s="976"/>
      <c r="AB946" s="976"/>
      <c r="AC946" s="976"/>
      <c r="AD946" s="976"/>
    </row>
    <row r="947" spans="8:8">
      <c r="A947" s="976"/>
      <c r="B947" s="976"/>
      <c r="C947" s="976"/>
      <c r="D947" s="976"/>
      <c r="E947" s="977"/>
      <c r="F947" s="976"/>
      <c r="G947" s="976"/>
      <c r="H947" s="976"/>
      <c r="I947" s="976"/>
      <c r="J947" s="976"/>
      <c r="K947" s="976"/>
      <c r="L947" s="976"/>
      <c r="M947" s="976"/>
      <c r="N947" s="976"/>
      <c r="O947" s="976"/>
      <c r="P947" s="976"/>
      <c r="Q947" s="976"/>
      <c r="R947" s="976"/>
      <c r="S947" s="976"/>
      <c r="T947" s="976"/>
      <c r="U947" s="976"/>
      <c r="V947" s="976"/>
      <c r="W947" s="976"/>
      <c r="X947" s="976"/>
      <c r="Y947" s="976"/>
      <c r="Z947" s="976"/>
      <c r="AA947" s="976"/>
      <c r="AB947" s="976"/>
      <c r="AC947" s="976"/>
      <c r="AD947" s="976"/>
    </row>
    <row r="948" spans="8:8">
      <c r="A948" s="976"/>
      <c r="B948" s="976"/>
      <c r="C948" s="976"/>
      <c r="D948" s="976"/>
      <c r="E948" s="977"/>
      <c r="F948" s="976"/>
      <c r="G948" s="976"/>
      <c r="H948" s="976"/>
      <c r="I948" s="976"/>
      <c r="J948" s="976"/>
      <c r="K948" s="976"/>
      <c r="L948" s="976"/>
      <c r="M948" s="976"/>
      <c r="N948" s="976"/>
      <c r="O948" s="976"/>
      <c r="P948" s="976"/>
      <c r="Q948" s="976"/>
      <c r="R948" s="976"/>
      <c r="S948" s="976"/>
      <c r="T948" s="976"/>
      <c r="U948" s="976"/>
      <c r="V948" s="976"/>
      <c r="W948" s="976"/>
      <c r="X948" s="976"/>
      <c r="Y948" s="976"/>
      <c r="Z948" s="976"/>
      <c r="AA948" s="976"/>
      <c r="AB948" s="976"/>
      <c r="AC948" s="976"/>
      <c r="AD948" s="976"/>
    </row>
    <row r="949" spans="8:8">
      <c r="A949" s="976"/>
      <c r="B949" s="976"/>
      <c r="C949" s="976"/>
      <c r="D949" s="976"/>
      <c r="E949" s="977"/>
      <c r="F949" s="976"/>
      <c r="G949" s="976"/>
      <c r="H949" s="976"/>
      <c r="I949" s="976"/>
      <c r="J949" s="976"/>
      <c r="K949" s="976"/>
      <c r="L949" s="976"/>
      <c r="M949" s="976"/>
      <c r="N949" s="976"/>
      <c r="O949" s="976"/>
      <c r="P949" s="976"/>
      <c r="Q949" s="976"/>
      <c r="R949" s="976"/>
      <c r="S949" s="976"/>
      <c r="T949" s="976"/>
      <c r="U949" s="976"/>
      <c r="V949" s="976"/>
      <c r="W949" s="976"/>
      <c r="X949" s="976"/>
      <c r="Y949" s="976"/>
      <c r="Z949" s="976"/>
      <c r="AA949" s="976"/>
      <c r="AB949" s="976"/>
      <c r="AC949" s="976"/>
      <c r="AD949" s="976"/>
    </row>
    <row r="950" spans="8:8">
      <c r="A950" s="976"/>
      <c r="B950" s="976"/>
      <c r="C950" s="976"/>
      <c r="D950" s="976"/>
      <c r="E950" s="977"/>
      <c r="F950" s="976"/>
      <c r="G950" s="976"/>
      <c r="H950" s="976"/>
      <c r="I950" s="976"/>
      <c r="J950" s="976"/>
      <c r="K950" s="976"/>
      <c r="L950" s="976"/>
      <c r="M950" s="976"/>
      <c r="N950" s="976"/>
      <c r="O950" s="976"/>
      <c r="P950" s="976"/>
      <c r="Q950" s="976"/>
      <c r="R950" s="976"/>
      <c r="S950" s="976"/>
      <c r="T950" s="976"/>
      <c r="U950" s="976"/>
      <c r="V950" s="976"/>
      <c r="W950" s="976"/>
      <c r="X950" s="976"/>
      <c r="Y950" s="976"/>
      <c r="Z950" s="976"/>
      <c r="AA950" s="976"/>
      <c r="AB950" s="976"/>
      <c r="AC950" s="976"/>
      <c r="AD950" s="976"/>
    </row>
    <row r="951" spans="8:8">
      <c r="A951" s="976"/>
      <c r="B951" s="976"/>
      <c r="C951" s="976"/>
      <c r="D951" s="976"/>
      <c r="E951" s="977"/>
      <c r="F951" s="976"/>
      <c r="G951" s="976"/>
      <c r="H951" s="976"/>
      <c r="I951" s="976"/>
      <c r="J951" s="976"/>
      <c r="K951" s="976"/>
      <c r="L951" s="976"/>
      <c r="M951" s="976"/>
      <c r="N951" s="976"/>
      <c r="O951" s="976"/>
      <c r="P951" s="976"/>
      <c r="Q951" s="976"/>
      <c r="R951" s="976"/>
      <c r="S951" s="976"/>
      <c r="T951" s="976"/>
      <c r="U951" s="976"/>
      <c r="V951" s="976"/>
      <c r="W951" s="976"/>
      <c r="X951" s="976"/>
      <c r="Y951" s="976"/>
      <c r="Z951" s="976"/>
      <c r="AA951" s="976"/>
      <c r="AB951" s="976"/>
      <c r="AC951" s="976"/>
      <c r="AD951" s="976"/>
    </row>
    <row r="952" spans="8:8">
      <c r="A952" s="976"/>
      <c r="B952" s="976"/>
      <c r="C952" s="976"/>
      <c r="D952" s="976"/>
      <c r="E952" s="977"/>
      <c r="F952" s="976"/>
      <c r="G952" s="976"/>
      <c r="H952" s="976"/>
      <c r="I952" s="976"/>
      <c r="J952" s="976"/>
      <c r="K952" s="976"/>
      <c r="L952" s="976"/>
      <c r="M952" s="976"/>
      <c r="N952" s="976"/>
      <c r="O952" s="976"/>
      <c r="P952" s="976"/>
      <c r="Q952" s="976"/>
      <c r="R952" s="976"/>
      <c r="S952" s="976"/>
      <c r="T952" s="976"/>
      <c r="U952" s="976"/>
      <c r="V952" s="976"/>
      <c r="W952" s="976"/>
      <c r="X952" s="976"/>
      <c r="Y952" s="976"/>
      <c r="Z952" s="976"/>
      <c r="AA952" s="976"/>
      <c r="AB952" s="976"/>
      <c r="AC952" s="976"/>
      <c r="AD952" s="976"/>
    </row>
    <row r="953" spans="8:8">
      <c r="A953" s="976"/>
      <c r="B953" s="976"/>
      <c r="C953" s="976"/>
      <c r="D953" s="976"/>
      <c r="E953" s="977"/>
      <c r="F953" s="976"/>
      <c r="G953" s="976"/>
      <c r="H953" s="976"/>
      <c r="I953" s="976"/>
      <c r="J953" s="976"/>
      <c r="K953" s="976"/>
      <c r="L953" s="976"/>
      <c r="M953" s="976"/>
      <c r="N953" s="976"/>
      <c r="O953" s="976"/>
      <c r="P953" s="976"/>
      <c r="Q953" s="976"/>
      <c r="R953" s="976"/>
      <c r="S953" s="976"/>
      <c r="T953" s="976"/>
      <c r="U953" s="976"/>
      <c r="V953" s="976"/>
      <c r="W953" s="976"/>
      <c r="X953" s="976"/>
      <c r="Y953" s="976"/>
      <c r="Z953" s="976"/>
      <c r="AA953" s="976"/>
      <c r="AB953" s="976"/>
      <c r="AC953" s="976"/>
      <c r="AD953" s="976"/>
    </row>
    <row r="954" spans="8:8">
      <c r="A954" s="976"/>
      <c r="B954" s="976"/>
      <c r="C954" s="976"/>
      <c r="D954" s="976"/>
      <c r="E954" s="977"/>
      <c r="F954" s="976"/>
      <c r="G954" s="976"/>
      <c r="H954" s="976"/>
      <c r="I954" s="976"/>
      <c r="J954" s="976"/>
      <c r="K954" s="976"/>
      <c r="L954" s="976"/>
      <c r="M954" s="976"/>
      <c r="N954" s="976"/>
      <c r="O954" s="976"/>
      <c r="P954" s="976"/>
      <c r="Q954" s="976"/>
      <c r="R954" s="976"/>
      <c r="S954" s="976"/>
      <c r="T954" s="976"/>
      <c r="U954" s="976"/>
      <c r="V954" s="976"/>
      <c r="W954" s="976"/>
      <c r="X954" s="976"/>
      <c r="Y954" s="976"/>
      <c r="Z954" s="976"/>
      <c r="AA954" s="976"/>
      <c r="AB954" s="976"/>
      <c r="AC954" s="976"/>
      <c r="AD954" s="976"/>
    </row>
    <row r="955" spans="8:8">
      <c r="A955" s="976"/>
      <c r="B955" s="976"/>
      <c r="C955" s="976"/>
      <c r="D955" s="976"/>
      <c r="E955" s="977"/>
      <c r="F955" s="976"/>
      <c r="G955" s="976"/>
      <c r="H955" s="976"/>
      <c r="I955" s="976"/>
      <c r="J955" s="976"/>
      <c r="K955" s="976"/>
      <c r="L955" s="976"/>
      <c r="M955" s="976"/>
      <c r="N955" s="976"/>
      <c r="O955" s="976"/>
      <c r="P955" s="976"/>
      <c r="Q955" s="976"/>
      <c r="R955" s="976"/>
      <c r="S955" s="976"/>
      <c r="T955" s="976"/>
      <c r="U955" s="976"/>
      <c r="V955" s="976"/>
      <c r="W955" s="976"/>
      <c r="X955" s="976"/>
      <c r="Y955" s="976"/>
      <c r="Z955" s="976"/>
      <c r="AA955" s="976"/>
      <c r="AB955" s="976"/>
      <c r="AC955" s="976"/>
      <c r="AD955" s="976"/>
    </row>
    <row r="956" spans="8:8">
      <c r="A956" s="976"/>
      <c r="B956" s="976"/>
      <c r="C956" s="976"/>
      <c r="D956" s="976"/>
      <c r="E956" s="977"/>
      <c r="F956" s="976"/>
      <c r="G956" s="976"/>
      <c r="H956" s="976"/>
      <c r="I956" s="976"/>
      <c r="J956" s="976"/>
      <c r="K956" s="976"/>
      <c r="L956" s="976"/>
      <c r="M956" s="976"/>
      <c r="N956" s="976"/>
      <c r="O956" s="976"/>
      <c r="P956" s="976"/>
      <c r="Q956" s="976"/>
      <c r="R956" s="976"/>
      <c r="S956" s="976"/>
      <c r="T956" s="976"/>
      <c r="U956" s="976"/>
      <c r="V956" s="976"/>
      <c r="W956" s="976"/>
      <c r="X956" s="976"/>
      <c r="Y956" s="976"/>
      <c r="Z956" s="976"/>
      <c r="AA956" s="976"/>
      <c r="AB956" s="976"/>
      <c r="AC956" s="976"/>
      <c r="AD956" s="976"/>
    </row>
    <row r="957" spans="8:8">
      <c r="A957" s="976"/>
      <c r="B957" s="976"/>
      <c r="C957" s="976"/>
      <c r="D957" s="976"/>
      <c r="E957" s="977"/>
      <c r="F957" s="976"/>
      <c r="G957" s="976"/>
      <c r="H957" s="976"/>
      <c r="I957" s="976"/>
      <c r="J957" s="976"/>
      <c r="K957" s="976"/>
      <c r="L957" s="976"/>
      <c r="M957" s="976"/>
      <c r="N957" s="976"/>
      <c r="O957" s="976"/>
      <c r="P957" s="976"/>
      <c r="Q957" s="976"/>
      <c r="R957" s="976"/>
      <c r="S957" s="976"/>
      <c r="T957" s="976"/>
      <c r="U957" s="976"/>
      <c r="V957" s="976"/>
      <c r="W957" s="976"/>
      <c r="X957" s="976"/>
      <c r="Y957" s="976"/>
      <c r="Z957" s="976"/>
      <c r="AA957" s="976"/>
      <c r="AB957" s="976"/>
      <c r="AC957" s="976"/>
      <c r="AD957" s="976"/>
    </row>
    <row r="958" spans="8:8">
      <c r="A958" s="976"/>
      <c r="B958" s="976"/>
      <c r="C958" s="976"/>
      <c r="D958" s="976"/>
      <c r="E958" s="977"/>
      <c r="F958" s="976"/>
      <c r="G958" s="976"/>
      <c r="H958" s="976"/>
      <c r="I958" s="976"/>
      <c r="J958" s="976"/>
      <c r="K958" s="976"/>
      <c r="L958" s="976"/>
      <c r="M958" s="976"/>
      <c r="N958" s="976"/>
      <c r="O958" s="976"/>
      <c r="P958" s="976"/>
      <c r="Q958" s="976"/>
      <c r="R958" s="976"/>
      <c r="S958" s="976"/>
      <c r="T958" s="976"/>
      <c r="U958" s="976"/>
      <c r="V958" s="976"/>
      <c r="W958" s="976"/>
      <c r="X958" s="976"/>
      <c r="Y958" s="976"/>
      <c r="Z958" s="976"/>
      <c r="AA958" s="976"/>
      <c r="AB958" s="976"/>
      <c r="AC958" s="976"/>
      <c r="AD958" s="976"/>
    </row>
    <row r="959" spans="8:8">
      <c r="A959" s="976"/>
      <c r="B959" s="976"/>
      <c r="C959" s="976"/>
      <c r="D959" s="976"/>
      <c r="E959" s="977"/>
      <c r="F959" s="976"/>
      <c r="G959" s="976"/>
      <c r="H959" s="976"/>
      <c r="I959" s="976"/>
      <c r="J959" s="976"/>
      <c r="K959" s="976"/>
      <c r="L959" s="976"/>
      <c r="M959" s="976"/>
      <c r="N959" s="976"/>
      <c r="O959" s="976"/>
      <c r="P959" s="976"/>
      <c r="Q959" s="976"/>
      <c r="R959" s="976"/>
      <c r="S959" s="976"/>
      <c r="T959" s="976"/>
      <c r="U959" s="976"/>
      <c r="V959" s="976"/>
      <c r="W959" s="976"/>
      <c r="X959" s="976"/>
      <c r="Y959" s="976"/>
      <c r="Z959" s="976"/>
      <c r="AA959" s="976"/>
      <c r="AB959" s="976"/>
      <c r="AC959" s="976"/>
      <c r="AD959" s="976"/>
    </row>
    <row r="960" spans="8:8">
      <c r="A960" s="976"/>
      <c r="B960" s="976"/>
      <c r="C960" s="976"/>
      <c r="D960" s="976"/>
      <c r="E960" s="977"/>
      <c r="F960" s="976"/>
      <c r="G960" s="976"/>
      <c r="H960" s="976"/>
      <c r="I960" s="976"/>
      <c r="J960" s="976"/>
      <c r="K960" s="976"/>
      <c r="L960" s="976"/>
      <c r="M960" s="976"/>
      <c r="N960" s="976"/>
      <c r="O960" s="976"/>
      <c r="P960" s="976"/>
      <c r="Q960" s="976"/>
      <c r="R960" s="976"/>
      <c r="S960" s="976"/>
      <c r="T960" s="976"/>
      <c r="U960" s="976"/>
      <c r="V960" s="976"/>
      <c r="W960" s="976"/>
      <c r="X960" s="976"/>
      <c r="Y960" s="976"/>
      <c r="Z960" s="976"/>
      <c r="AA960" s="976"/>
      <c r="AB960" s="976"/>
      <c r="AC960" s="976"/>
      <c r="AD960" s="976"/>
    </row>
    <row r="961" spans="8:8">
      <c r="A961" s="976"/>
      <c r="B961" s="976"/>
      <c r="C961" s="976"/>
      <c r="D961" s="976"/>
      <c r="E961" s="977"/>
      <c r="F961" s="976"/>
      <c r="G961" s="976"/>
      <c r="H961" s="976"/>
      <c r="I961" s="976"/>
      <c r="J961" s="976"/>
      <c r="K961" s="976"/>
      <c r="L961" s="976"/>
      <c r="M961" s="976"/>
      <c r="N961" s="976"/>
      <c r="O961" s="976"/>
      <c r="P961" s="976"/>
      <c r="Q961" s="976"/>
      <c r="R961" s="976"/>
      <c r="S961" s="976"/>
      <c r="T961" s="976"/>
      <c r="U961" s="976"/>
      <c r="V961" s="976"/>
      <c r="W961" s="976"/>
      <c r="X961" s="976"/>
      <c r="Y961" s="976"/>
      <c r="Z961" s="976"/>
      <c r="AA961" s="976"/>
      <c r="AB961" s="976"/>
      <c r="AC961" s="976"/>
      <c r="AD961" s="976"/>
    </row>
    <row r="962" spans="8:8">
      <c r="A962" s="976"/>
      <c r="B962" s="976"/>
      <c r="C962" s="976"/>
      <c r="D962" s="976"/>
      <c r="E962" s="977"/>
      <c r="F962" s="976"/>
      <c r="G962" s="976"/>
      <c r="H962" s="976"/>
      <c r="I962" s="976"/>
      <c r="J962" s="976"/>
      <c r="K962" s="976"/>
      <c r="L962" s="976"/>
      <c r="M962" s="976"/>
      <c r="N962" s="976"/>
      <c r="O962" s="976"/>
      <c r="P962" s="976"/>
      <c r="Q962" s="976"/>
      <c r="R962" s="976"/>
      <c r="S962" s="976"/>
      <c r="T962" s="976"/>
      <c r="U962" s="976"/>
      <c r="V962" s="976"/>
      <c r="W962" s="976"/>
      <c r="X962" s="976"/>
      <c r="Y962" s="976"/>
      <c r="Z962" s="976"/>
      <c r="AA962" s="976"/>
      <c r="AB962" s="976"/>
      <c r="AC962" s="976"/>
      <c r="AD962" s="976"/>
    </row>
    <row r="963" spans="8:8">
      <c r="A963" s="976"/>
      <c r="B963" s="976"/>
      <c r="C963" s="976"/>
      <c r="D963" s="976"/>
      <c r="E963" s="977"/>
      <c r="F963" s="976"/>
      <c r="G963" s="976"/>
      <c r="H963" s="976"/>
      <c r="I963" s="976"/>
      <c r="J963" s="976"/>
      <c r="K963" s="976"/>
      <c r="L963" s="976"/>
      <c r="M963" s="976"/>
      <c r="N963" s="976"/>
      <c r="O963" s="976"/>
      <c r="P963" s="976"/>
      <c r="Q963" s="976"/>
      <c r="R963" s="976"/>
      <c r="S963" s="976"/>
      <c r="T963" s="976"/>
      <c r="U963" s="976"/>
      <c r="V963" s="976"/>
      <c r="W963" s="976"/>
      <c r="X963" s="976"/>
      <c r="Y963" s="976"/>
      <c r="Z963" s="976"/>
      <c r="AA963" s="976"/>
      <c r="AB963" s="976"/>
      <c r="AC963" s="976"/>
      <c r="AD963" s="976"/>
    </row>
    <row r="964" spans="8:8">
      <c r="A964" s="976"/>
      <c r="B964" s="976"/>
      <c r="C964" s="976"/>
      <c r="D964" s="976"/>
      <c r="E964" s="977"/>
      <c r="F964" s="976"/>
      <c r="G964" s="976"/>
      <c r="H964" s="976"/>
      <c r="I964" s="976"/>
      <c r="J964" s="976"/>
      <c r="K964" s="976"/>
      <c r="L964" s="976"/>
      <c r="M964" s="976"/>
      <c r="N964" s="976"/>
      <c r="O964" s="976"/>
      <c r="P964" s="976"/>
      <c r="Q964" s="976"/>
      <c r="R964" s="976"/>
      <c r="S964" s="976"/>
      <c r="T964" s="976"/>
      <c r="U964" s="976"/>
      <c r="V964" s="976"/>
      <c r="W964" s="976"/>
      <c r="X964" s="976"/>
      <c r="Y964" s="976"/>
      <c r="Z964" s="976"/>
      <c r="AA964" s="976"/>
      <c r="AB964" s="976"/>
      <c r="AC964" s="976"/>
      <c r="AD964" s="976"/>
    </row>
    <row r="965" spans="8:8">
      <c r="A965" s="976"/>
      <c r="B965" s="976"/>
      <c r="C965" s="976"/>
      <c r="D965" s="976"/>
      <c r="E965" s="977"/>
      <c r="F965" s="976"/>
      <c r="G965" s="976"/>
      <c r="H965" s="976"/>
      <c r="I965" s="976"/>
      <c r="J965" s="976"/>
      <c r="K965" s="976"/>
      <c r="L965" s="976"/>
      <c r="M965" s="976"/>
      <c r="N965" s="976"/>
      <c r="O965" s="976"/>
      <c r="P965" s="976"/>
      <c r="Q965" s="976"/>
      <c r="R965" s="976"/>
      <c r="S965" s="976"/>
      <c r="T965" s="976"/>
      <c r="U965" s="976"/>
      <c r="V965" s="976"/>
      <c r="W965" s="976"/>
      <c r="X965" s="976"/>
      <c r="Y965" s="976"/>
      <c r="Z965" s="976"/>
      <c r="AA965" s="976"/>
      <c r="AB965" s="976"/>
      <c r="AC965" s="976"/>
      <c r="AD965" s="976"/>
    </row>
    <row r="966" spans="8:8">
      <c r="A966" s="976"/>
      <c r="B966" s="976"/>
      <c r="C966" s="976"/>
      <c r="D966" s="976"/>
      <c r="E966" s="977"/>
      <c r="F966" s="976"/>
      <c r="G966" s="976"/>
      <c r="H966" s="976"/>
      <c r="I966" s="976"/>
      <c r="J966" s="976"/>
      <c r="K966" s="976"/>
      <c r="L966" s="976"/>
      <c r="M966" s="976"/>
      <c r="N966" s="976"/>
      <c r="O966" s="976"/>
      <c r="P966" s="976"/>
      <c r="Q966" s="976"/>
      <c r="R966" s="976"/>
      <c r="S966" s="976"/>
      <c r="T966" s="976"/>
      <c r="U966" s="976"/>
      <c r="V966" s="976"/>
      <c r="W966" s="976"/>
      <c r="X966" s="976"/>
      <c r="Y966" s="976"/>
      <c r="Z966" s="976"/>
      <c r="AA966" s="976"/>
      <c r="AB966" s="976"/>
      <c r="AC966" s="976"/>
      <c r="AD966" s="976"/>
    </row>
    <row r="967" spans="8:8">
      <c r="A967" s="976"/>
      <c r="B967" s="976"/>
      <c r="C967" s="976"/>
      <c r="D967" s="976"/>
      <c r="E967" s="977"/>
      <c r="F967" s="976"/>
      <c r="G967" s="976"/>
      <c r="H967" s="976"/>
      <c r="I967" s="976"/>
      <c r="J967" s="976"/>
      <c r="K967" s="976"/>
      <c r="L967" s="976"/>
      <c r="M967" s="976"/>
      <c r="N967" s="976"/>
      <c r="O967" s="976"/>
      <c r="P967" s="976"/>
      <c r="Q967" s="976"/>
      <c r="R967" s="976"/>
      <c r="S967" s="976"/>
      <c r="T967" s="976"/>
      <c r="U967" s="976"/>
      <c r="V967" s="976"/>
      <c r="W967" s="976"/>
      <c r="X967" s="976"/>
      <c r="Y967" s="976"/>
      <c r="Z967" s="976"/>
      <c r="AA967" s="976"/>
      <c r="AB967" s="976"/>
      <c r="AC967" s="976"/>
      <c r="AD967" s="976"/>
    </row>
    <row r="968" spans="8:8">
      <c r="A968" s="976"/>
      <c r="B968" s="976"/>
      <c r="C968" s="976"/>
      <c r="D968" s="976"/>
      <c r="E968" s="977"/>
      <c r="F968" s="976"/>
      <c r="G968" s="976"/>
      <c r="H968" s="976"/>
      <c r="I968" s="976"/>
      <c r="J968" s="976"/>
      <c r="K968" s="976"/>
      <c r="L968" s="976"/>
      <c r="M968" s="976"/>
      <c r="N968" s="976"/>
      <c r="O968" s="976"/>
      <c r="P968" s="976"/>
      <c r="Q968" s="976"/>
      <c r="R968" s="976"/>
      <c r="S968" s="976"/>
      <c r="T968" s="976"/>
      <c r="U968" s="976"/>
      <c r="V968" s="976"/>
      <c r="W968" s="976"/>
      <c r="X968" s="976"/>
      <c r="Y968" s="976"/>
      <c r="Z968" s="976"/>
      <c r="AA968" s="976"/>
      <c r="AB968" s="976"/>
      <c r="AC968" s="976"/>
      <c r="AD968" s="976"/>
    </row>
    <row r="969" spans="8:8">
      <c r="A969" s="976"/>
      <c r="B969" s="976"/>
      <c r="C969" s="976"/>
      <c r="D969" s="976"/>
      <c r="E969" s="977"/>
      <c r="F969" s="976"/>
      <c r="G969" s="976"/>
      <c r="H969" s="976"/>
      <c r="I969" s="976"/>
      <c r="J969" s="976"/>
      <c r="K969" s="976"/>
      <c r="L969" s="976"/>
      <c r="M969" s="976"/>
      <c r="N969" s="976"/>
      <c r="O969" s="976"/>
      <c r="P969" s="976"/>
      <c r="Q969" s="976"/>
      <c r="R969" s="976"/>
      <c r="S969" s="976"/>
      <c r="T969" s="976"/>
      <c r="U969" s="976"/>
      <c r="V969" s="976"/>
      <c r="W969" s="976"/>
      <c r="X969" s="976"/>
      <c r="Y969" s="976"/>
      <c r="Z969" s="976"/>
      <c r="AA969" s="976"/>
      <c r="AB969" s="976"/>
      <c r="AC969" s="976"/>
      <c r="AD969" s="976"/>
    </row>
    <row r="970" spans="8:8">
      <c r="A970" s="976"/>
      <c r="B970" s="976"/>
      <c r="C970" s="976"/>
      <c r="D970" s="976"/>
      <c r="E970" s="977"/>
      <c r="F970" s="976"/>
      <c r="G970" s="976"/>
      <c r="H970" s="976"/>
      <c r="I970" s="976"/>
      <c r="J970" s="976"/>
      <c r="K970" s="976"/>
      <c r="L970" s="976"/>
      <c r="M970" s="976"/>
      <c r="N970" s="976"/>
      <c r="O970" s="976"/>
      <c r="P970" s="976"/>
      <c r="Q970" s="976"/>
      <c r="R970" s="976"/>
      <c r="S970" s="976"/>
      <c r="T970" s="976"/>
      <c r="U970" s="976"/>
      <c r="V970" s="976"/>
      <c r="W970" s="976"/>
      <c r="X970" s="976"/>
      <c r="Y970" s="976"/>
      <c r="Z970" s="976"/>
      <c r="AA970" s="976"/>
      <c r="AB970" s="976"/>
      <c r="AC970" s="976"/>
      <c r="AD970" s="976"/>
    </row>
    <row r="971" spans="8:8">
      <c r="A971" s="976"/>
      <c r="B971" s="976"/>
      <c r="C971" s="976"/>
      <c r="D971" s="976"/>
      <c r="E971" s="977"/>
      <c r="F971" s="976"/>
      <c r="G971" s="976"/>
      <c r="H971" s="976"/>
      <c r="I971" s="976"/>
      <c r="J971" s="976"/>
      <c r="K971" s="976"/>
      <c r="L971" s="976"/>
      <c r="M971" s="976"/>
      <c r="N971" s="976"/>
      <c r="O971" s="976"/>
      <c r="P971" s="976"/>
      <c r="Q971" s="976"/>
      <c r="R971" s="976"/>
      <c r="S971" s="976"/>
      <c r="T971" s="976"/>
      <c r="U971" s="976"/>
      <c r="V971" s="976"/>
      <c r="W971" s="976"/>
      <c r="X971" s="976"/>
      <c r="Y971" s="976"/>
      <c r="Z971" s="976"/>
      <c r="AA971" s="976"/>
      <c r="AB971" s="976"/>
      <c r="AC971" s="976"/>
      <c r="AD971" s="976"/>
    </row>
    <row r="972" spans="8:8">
      <c r="A972" s="976"/>
      <c r="B972" s="976"/>
      <c r="C972" s="976"/>
      <c r="D972" s="976"/>
      <c r="E972" s="977"/>
      <c r="F972" s="976"/>
      <c r="G972" s="976"/>
      <c r="H972" s="976"/>
      <c r="I972" s="976"/>
      <c r="J972" s="976"/>
      <c r="K972" s="976"/>
      <c r="L972" s="976"/>
      <c r="M972" s="976"/>
      <c r="N972" s="976"/>
      <c r="O972" s="976"/>
      <c r="P972" s="976"/>
      <c r="Q972" s="976"/>
      <c r="R972" s="976"/>
      <c r="S972" s="976"/>
      <c r="T972" s="976"/>
      <c r="U972" s="976"/>
      <c r="V972" s="976"/>
      <c r="W972" s="976"/>
      <c r="X972" s="976"/>
      <c r="Y972" s="976"/>
      <c r="Z972" s="976"/>
      <c r="AA972" s="976"/>
      <c r="AB972" s="976"/>
      <c r="AC972" s="976"/>
      <c r="AD972" s="976"/>
    </row>
    <row r="973" spans="8:8">
      <c r="A973" s="976"/>
      <c r="B973" s="976"/>
      <c r="C973" s="976"/>
      <c r="D973" s="976"/>
      <c r="E973" s="977"/>
      <c r="F973" s="976"/>
      <c r="G973" s="976"/>
      <c r="H973" s="976"/>
      <c r="I973" s="976"/>
      <c r="J973" s="976"/>
      <c r="K973" s="976"/>
      <c r="L973" s="976"/>
      <c r="M973" s="976"/>
      <c r="N973" s="976"/>
      <c r="O973" s="976"/>
      <c r="P973" s="976"/>
      <c r="Q973" s="976"/>
      <c r="R973" s="976"/>
      <c r="S973" s="976"/>
      <c r="T973" s="976"/>
      <c r="U973" s="976"/>
      <c r="V973" s="976"/>
      <c r="W973" s="976"/>
      <c r="X973" s="976"/>
      <c r="Y973" s="976"/>
      <c r="Z973" s="976"/>
      <c r="AA973" s="976"/>
      <c r="AB973" s="976"/>
      <c r="AC973" s="976"/>
      <c r="AD973" s="976"/>
    </row>
    <row r="974" spans="8:8">
      <c r="A974" s="976"/>
      <c r="B974" s="976"/>
      <c r="C974" s="976"/>
      <c r="D974" s="976"/>
      <c r="E974" s="977"/>
      <c r="F974" s="976"/>
      <c r="G974" s="976"/>
      <c r="H974" s="976"/>
      <c r="I974" s="976"/>
      <c r="J974" s="976"/>
      <c r="K974" s="976"/>
      <c r="L974" s="976"/>
      <c r="M974" s="976"/>
      <c r="N974" s="976"/>
      <c r="O974" s="976"/>
      <c r="P974" s="976"/>
      <c r="Q974" s="976"/>
      <c r="R974" s="976"/>
      <c r="S974" s="976"/>
      <c r="T974" s="976"/>
      <c r="U974" s="976"/>
      <c r="V974" s="976"/>
      <c r="W974" s="976"/>
      <c r="X974" s="976"/>
      <c r="Y974" s="976"/>
      <c r="Z974" s="976"/>
      <c r="AA974" s="976"/>
      <c r="AB974" s="976"/>
      <c r="AC974" s="976"/>
      <c r="AD974" s="976"/>
    </row>
    <row r="975" spans="8:8">
      <c r="A975" s="976"/>
      <c r="B975" s="976"/>
      <c r="C975" s="976"/>
      <c r="D975" s="976"/>
      <c r="E975" s="977"/>
      <c r="F975" s="976"/>
      <c r="G975" s="976"/>
      <c r="H975" s="976"/>
      <c r="I975" s="976"/>
      <c r="J975" s="976"/>
      <c r="K975" s="976"/>
      <c r="L975" s="976"/>
      <c r="M975" s="976"/>
      <c r="N975" s="976"/>
      <c r="O975" s="976"/>
      <c r="P975" s="976"/>
      <c r="Q975" s="976"/>
      <c r="R975" s="976"/>
      <c r="S975" s="976"/>
      <c r="T975" s="976"/>
      <c r="U975" s="976"/>
      <c r="V975" s="976"/>
      <c r="W975" s="976"/>
      <c r="X975" s="976"/>
      <c r="Y975" s="976"/>
      <c r="Z975" s="976"/>
      <c r="AA975" s="976"/>
      <c r="AB975" s="976"/>
      <c r="AC975" s="976"/>
      <c r="AD975" s="976"/>
    </row>
    <row r="976" spans="8:8">
      <c r="A976" s="976"/>
      <c r="B976" s="976"/>
      <c r="C976" s="976"/>
      <c r="D976" s="976"/>
      <c r="E976" s="977"/>
      <c r="F976" s="976"/>
      <c r="G976" s="976"/>
      <c r="H976" s="976"/>
      <c r="I976" s="976"/>
      <c r="J976" s="976"/>
      <c r="K976" s="976"/>
      <c r="L976" s="976"/>
      <c r="M976" s="976"/>
      <c r="N976" s="976"/>
      <c r="O976" s="976"/>
      <c r="P976" s="976"/>
      <c r="Q976" s="976"/>
      <c r="R976" s="976"/>
      <c r="S976" s="976"/>
      <c r="T976" s="976"/>
      <c r="U976" s="976"/>
      <c r="V976" s="976"/>
      <c r="W976" s="976"/>
      <c r="X976" s="976"/>
      <c r="Y976" s="976"/>
      <c r="Z976" s="976"/>
      <c r="AA976" s="976"/>
      <c r="AB976" s="976"/>
      <c r="AC976" s="976"/>
      <c r="AD976" s="976"/>
    </row>
    <row r="977" spans="8:8">
      <c r="A977" s="976"/>
      <c r="B977" s="976"/>
      <c r="C977" s="976"/>
      <c r="D977" s="976"/>
      <c r="E977" s="977"/>
      <c r="F977" s="976"/>
      <c r="G977" s="976"/>
      <c r="H977" s="976"/>
      <c r="I977" s="976"/>
      <c r="J977" s="976"/>
      <c r="K977" s="976"/>
      <c r="L977" s="976"/>
      <c r="M977" s="976"/>
      <c r="N977" s="976"/>
      <c r="O977" s="976"/>
      <c r="P977" s="976"/>
      <c r="Q977" s="976"/>
      <c r="R977" s="976"/>
      <c r="S977" s="976"/>
      <c r="T977" s="976"/>
      <c r="U977" s="976"/>
      <c r="V977" s="976"/>
      <c r="W977" s="976"/>
      <c r="X977" s="976"/>
      <c r="Y977" s="976"/>
      <c r="Z977" s="976"/>
      <c r="AA977" s="976"/>
      <c r="AB977" s="976"/>
      <c r="AC977" s="976"/>
      <c r="AD977" s="976"/>
    </row>
    <row r="978" spans="8:8">
      <c r="A978" s="976"/>
      <c r="B978" s="976"/>
      <c r="C978" s="976"/>
      <c r="D978" s="976"/>
      <c r="E978" s="977"/>
      <c r="F978" s="976"/>
      <c r="G978" s="976"/>
      <c r="H978" s="976"/>
      <c r="I978" s="976"/>
      <c r="J978" s="976"/>
      <c r="K978" s="976"/>
      <c r="L978" s="976"/>
      <c r="M978" s="976"/>
      <c r="N978" s="976"/>
      <c r="O978" s="976"/>
      <c r="P978" s="976"/>
      <c r="Q978" s="976"/>
      <c r="R978" s="976"/>
      <c r="S978" s="976"/>
      <c r="T978" s="976"/>
      <c r="U978" s="976"/>
      <c r="V978" s="976"/>
      <c r="W978" s="976"/>
      <c r="X978" s="976"/>
      <c r="Y978" s="976"/>
      <c r="Z978" s="976"/>
      <c r="AA978" s="976"/>
      <c r="AB978" s="976"/>
      <c r="AC978" s="976"/>
      <c r="AD978" s="976"/>
    </row>
    <row r="979" spans="8:8">
      <c r="A979" s="976"/>
      <c r="B979" s="976"/>
      <c r="C979" s="976"/>
      <c r="D979" s="976"/>
      <c r="E979" s="977"/>
      <c r="F979" s="976"/>
      <c r="G979" s="976"/>
      <c r="H979" s="976"/>
      <c r="I979" s="976"/>
      <c r="J979" s="976"/>
      <c r="K979" s="976"/>
      <c r="L979" s="976"/>
      <c r="M979" s="976"/>
      <c r="N979" s="976"/>
      <c r="O979" s="976"/>
      <c r="P979" s="976"/>
      <c r="Q979" s="976"/>
      <c r="R979" s="976"/>
      <c r="S979" s="976"/>
      <c r="T979" s="976"/>
      <c r="U979" s="976"/>
      <c r="V979" s="976"/>
      <c r="W979" s="976"/>
      <c r="X979" s="976"/>
      <c r="Y979" s="976"/>
      <c r="Z979" s="976"/>
      <c r="AA979" s="976"/>
      <c r="AB979" s="976"/>
      <c r="AC979" s="976"/>
      <c r="AD979" s="976"/>
    </row>
    <row r="980" spans="8:8">
      <c r="A980" s="976"/>
      <c r="B980" s="976"/>
      <c r="C980" s="976"/>
      <c r="D980" s="976"/>
      <c r="E980" s="977"/>
      <c r="F980" s="976"/>
      <c r="G980" s="976"/>
      <c r="H980" s="976"/>
      <c r="I980" s="976"/>
      <c r="J980" s="976"/>
      <c r="K980" s="976"/>
      <c r="L980" s="976"/>
      <c r="M980" s="976"/>
      <c r="N980" s="976"/>
      <c r="O980" s="976"/>
      <c r="P980" s="976"/>
      <c r="Q980" s="976"/>
      <c r="R980" s="976"/>
      <c r="S980" s="976"/>
      <c r="T980" s="976"/>
      <c r="U980" s="976"/>
      <c r="V980" s="976"/>
      <c r="W980" s="976"/>
      <c r="X980" s="976"/>
      <c r="Y980" s="976"/>
      <c r="Z980" s="976"/>
      <c r="AA980" s="976"/>
      <c r="AB980" s="976"/>
      <c r="AC980" s="976"/>
      <c r="AD980" s="976"/>
    </row>
    <row r="981" spans="8:8">
      <c r="A981" s="976"/>
      <c r="B981" s="976"/>
      <c r="C981" s="976"/>
      <c r="D981" s="976"/>
      <c r="E981" s="977"/>
      <c r="F981" s="976"/>
      <c r="G981" s="976"/>
      <c r="H981" s="976"/>
      <c r="I981" s="976"/>
      <c r="J981" s="976"/>
      <c r="K981" s="976"/>
      <c r="L981" s="976"/>
      <c r="M981" s="976"/>
      <c r="N981" s="976"/>
      <c r="O981" s="976"/>
      <c r="P981" s="976"/>
      <c r="Q981" s="976"/>
      <c r="R981" s="976"/>
      <c r="S981" s="976"/>
      <c r="T981" s="976"/>
      <c r="U981" s="976"/>
      <c r="V981" s="976"/>
      <c r="W981" s="976"/>
      <c r="X981" s="976"/>
      <c r="Y981" s="976"/>
      <c r="Z981" s="976"/>
      <c r="AA981" s="976"/>
      <c r="AB981" s="976"/>
      <c r="AC981" s="976"/>
      <c r="AD981" s="976"/>
    </row>
    <row r="982" spans="8:8">
      <c r="A982" s="976"/>
      <c r="B982" s="976"/>
      <c r="C982" s="976"/>
      <c r="D982" s="976"/>
      <c r="E982" s="977"/>
      <c r="F982" s="976"/>
      <c r="G982" s="976"/>
      <c r="H982" s="976"/>
      <c r="I982" s="976"/>
      <c r="J982" s="976"/>
      <c r="K982" s="976"/>
      <c r="L982" s="976"/>
      <c r="M982" s="976"/>
      <c r="N982" s="976"/>
      <c r="O982" s="976"/>
      <c r="P982" s="976"/>
      <c r="Q982" s="976"/>
      <c r="R982" s="976"/>
      <c r="S982" s="976"/>
      <c r="T982" s="976"/>
      <c r="U982" s="976"/>
      <c r="V982" s="976"/>
      <c r="W982" s="976"/>
      <c r="X982" s="976"/>
      <c r="Y982" s="976"/>
      <c r="Z982" s="976"/>
      <c r="AA982" s="976"/>
      <c r="AB982" s="976"/>
      <c r="AC982" s="976"/>
      <c r="AD982" s="976"/>
    </row>
    <row r="983" spans="8:8">
      <c r="A983" s="976"/>
      <c r="B983" s="976"/>
      <c r="C983" s="976"/>
      <c r="D983" s="976"/>
      <c r="E983" s="977"/>
      <c r="F983" s="976"/>
      <c r="G983" s="976"/>
      <c r="H983" s="976"/>
      <c r="I983" s="976"/>
      <c r="J983" s="976"/>
      <c r="K983" s="976"/>
      <c r="L983" s="976"/>
      <c r="M983" s="976"/>
      <c r="N983" s="976"/>
      <c r="O983" s="976"/>
      <c r="P983" s="976"/>
      <c r="Q983" s="976"/>
      <c r="R983" s="976"/>
      <c r="S983" s="976"/>
      <c r="T983" s="976"/>
      <c r="U983" s="976"/>
      <c r="V983" s="976"/>
      <c r="W983" s="976"/>
      <c r="X983" s="976"/>
      <c r="Y983" s="976"/>
      <c r="Z983" s="976"/>
      <c r="AA983" s="976"/>
      <c r="AB983" s="976"/>
      <c r="AC983" s="976"/>
      <c r="AD983" s="976"/>
    </row>
    <row r="984" spans="8:8">
      <c r="A984" s="976"/>
      <c r="B984" s="976"/>
      <c r="C984" s="976"/>
      <c r="D984" s="976"/>
      <c r="E984" s="977"/>
      <c r="F984" s="976"/>
      <c r="G984" s="976"/>
      <c r="H984" s="976"/>
      <c r="I984" s="976"/>
      <c r="J984" s="976"/>
      <c r="K984" s="976"/>
      <c r="L984" s="976"/>
      <c r="M984" s="976"/>
      <c r="N984" s="976"/>
      <c r="O984" s="976"/>
      <c r="P984" s="976"/>
      <c r="Q984" s="976"/>
      <c r="R984" s="976"/>
      <c r="S984" s="976"/>
      <c r="T984" s="976"/>
      <c r="U984" s="976"/>
      <c r="V984" s="976"/>
      <c r="W984" s="976"/>
      <c r="X984" s="976"/>
      <c r="Y984" s="976"/>
      <c r="Z984" s="976"/>
      <c r="AA984" s="976"/>
      <c r="AB984" s="976"/>
      <c r="AC984" s="976"/>
      <c r="AD984" s="976"/>
    </row>
    <row r="985" spans="8:8">
      <c r="A985" s="976"/>
      <c r="B985" s="976"/>
      <c r="C985" s="976"/>
      <c r="D985" s="976"/>
      <c r="E985" s="977"/>
      <c r="F985" s="976"/>
      <c r="G985" s="976"/>
      <c r="H985" s="976"/>
      <c r="I985" s="976"/>
      <c r="J985" s="976"/>
      <c r="K985" s="976"/>
      <c r="L985" s="976"/>
      <c r="M985" s="976"/>
      <c r="N985" s="976"/>
      <c r="O985" s="976"/>
      <c r="P985" s="976"/>
      <c r="Q985" s="976"/>
      <c r="R985" s="976"/>
      <c r="S985" s="976"/>
      <c r="T985" s="976"/>
      <c r="U985" s="976"/>
      <c r="V985" s="976"/>
      <c r="W985" s="976"/>
      <c r="X985" s="976"/>
      <c r="Y985" s="976"/>
      <c r="Z985" s="976"/>
      <c r="AA985" s="976"/>
      <c r="AB985" s="976"/>
      <c r="AC985" s="976"/>
      <c r="AD985" s="976"/>
    </row>
  </sheetData>
  <mergeCells count="210">
    <mergeCell ref="E46:E47"/>
    <mergeCell ref="G92:G93"/>
    <mergeCell ref="G96:G97"/>
    <mergeCell ref="E96:E97"/>
    <mergeCell ref="D1:E2"/>
    <mergeCell ref="A1:C2"/>
    <mergeCell ref="M42:M43"/>
    <mergeCell ref="H80:H81"/>
    <mergeCell ref="J92:J93"/>
    <mergeCell ref="K46:K47"/>
    <mergeCell ref="F98:F99"/>
    <mergeCell ref="I62:I63"/>
    <mergeCell ref="J70:J71"/>
    <mergeCell ref="I96:I97"/>
    <mergeCell ref="G70:G71"/>
    <mergeCell ref="F96:F97"/>
    <mergeCell ref="J96:J97"/>
    <mergeCell ref="I66:I67"/>
    <mergeCell ref="K96:K97"/>
    <mergeCell ref="L60:L61"/>
    <mergeCell ref="M74:M75"/>
    <mergeCell ref="J98:J99"/>
    <mergeCell ref="I98:I99"/>
    <mergeCell ref="K98:K99"/>
    <mergeCell ref="F48:F49"/>
    <mergeCell ref="I80:I81"/>
    <mergeCell ref="I44:I45"/>
    <mergeCell ref="J46:J47"/>
    <mergeCell ref="E48:E49"/>
    <mergeCell ref="E62:E63"/>
    <mergeCell ref="E98:E99"/>
    <mergeCell ref="L98:L99"/>
    <mergeCell ref="J64:J65"/>
    <mergeCell ref="K68:K69"/>
    <mergeCell ref="L84:L85"/>
    <mergeCell ref="L82:L83"/>
    <mergeCell ref="M98:M99"/>
    <mergeCell ref="H98:H99"/>
    <mergeCell ref="G98:G99"/>
    <mergeCell ref="F46:F47"/>
    <mergeCell ref="G90:G91"/>
    <mergeCell ref="E70:E71"/>
    <mergeCell ref="G60:G61"/>
    <mergeCell ref="F76:F77"/>
    <mergeCell ref="E84:E85"/>
    <mergeCell ref="G94:G95"/>
    <mergeCell ref="F80:F81"/>
    <mergeCell ref="K60:K61"/>
    <mergeCell ref="M90:M91"/>
    <mergeCell ref="M44:M45"/>
    <mergeCell ref="K94:K95"/>
    <mergeCell ref="H60:H61"/>
    <mergeCell ref="K50:K51"/>
    <mergeCell ref="J52:J53"/>
    <mergeCell ref="I94:I95"/>
    <mergeCell ref="L96:L97"/>
    <mergeCell ref="J68:J69"/>
    <mergeCell ref="E90:E91"/>
    <mergeCell ref="H54:H55"/>
    <mergeCell ref="E66:E67"/>
    <mergeCell ref="E76:E77"/>
    <mergeCell ref="I84:I85"/>
    <mergeCell ref="H50:H51"/>
    <mergeCell ref="J94:J95"/>
    <mergeCell ref="K64:K65"/>
    <mergeCell ref="G84:G85"/>
    <mergeCell ref="G48:G49"/>
    <mergeCell ref="M78:M79"/>
    <mergeCell ref="L78:L79"/>
    <mergeCell ref="M92:M93"/>
    <mergeCell ref="M46:M47"/>
    <mergeCell ref="M68:M69"/>
    <mergeCell ref="M48:M49"/>
    <mergeCell ref="M50:M51"/>
    <mergeCell ref="M66:M67"/>
    <mergeCell ref="M62:M63"/>
    <mergeCell ref="L46:L47"/>
    <mergeCell ref="M84:M85"/>
    <mergeCell ref="G68:G69"/>
    <mergeCell ref="K48:K49"/>
    <mergeCell ref="F50:F51"/>
    <mergeCell ref="I60:I61"/>
    <mergeCell ref="H62:H63"/>
    <mergeCell ref="H52:H53"/>
    <mergeCell ref="E80:E81"/>
    <mergeCell ref="F92:F93"/>
    <mergeCell ref="I68:I69"/>
    <mergeCell ref="G46:G47"/>
    <mergeCell ref="F90:F91"/>
    <mergeCell ref="H84:H85"/>
    <mergeCell ref="E88:F89"/>
    <mergeCell ref="F68:F69"/>
    <mergeCell ref="G78:G79"/>
    <mergeCell ref="F70:F71"/>
    <mergeCell ref="H64:H65"/>
    <mergeCell ref="G54:G55"/>
    <mergeCell ref="J50:J51"/>
    <mergeCell ref="G80:G81"/>
    <mergeCell ref="K66:K67"/>
    <mergeCell ref="M88:M89"/>
    <mergeCell ref="J60:J61"/>
    <mergeCell ref="J80:J81"/>
    <mergeCell ref="M64:M65"/>
    <mergeCell ref="L90:L91"/>
    <mergeCell ref="L80:L81"/>
    <mergeCell ref="K76:K77"/>
    <mergeCell ref="M82:M83"/>
    <mergeCell ref="K82:K83"/>
    <mergeCell ref="M70:M71"/>
    <mergeCell ref="M52:M53"/>
    <mergeCell ref="G64:G65"/>
    <mergeCell ref="I46:I47"/>
    <mergeCell ref="F60:F61"/>
    <mergeCell ref="V1:V2"/>
    <mergeCell ref="M54:M55"/>
    <mergeCell ref="J78:J79"/>
    <mergeCell ref="K84:K85"/>
    <mergeCell ref="P1:Q1"/>
    <mergeCell ref="E42:F43"/>
    <mergeCell ref="G62:G63"/>
    <mergeCell ref="J54:J55"/>
    <mergeCell ref="E60:E61"/>
    <mergeCell ref="E58:F59"/>
    <mergeCell ref="E44:E45"/>
    <mergeCell ref="K92:K93"/>
    <mergeCell ref="F82:F83"/>
    <mergeCell ref="I76:I77"/>
    <mergeCell ref="L70:L71"/>
    <mergeCell ref="E94:E95"/>
    <mergeCell ref="K78:K79"/>
    <mergeCell ref="E78:E79"/>
    <mergeCell ref="K90:K91"/>
    <mergeCell ref="F84:F85"/>
    <mergeCell ref="H92:H93"/>
    <mergeCell ref="J76:J77"/>
    <mergeCell ref="H94:H95"/>
    <mergeCell ref="J82:J83"/>
    <mergeCell ref="G76:G77"/>
    <mergeCell ref="J84:J85"/>
    <mergeCell ref="H90:H91"/>
    <mergeCell ref="I90:I91"/>
    <mergeCell ref="H70:H71"/>
    <mergeCell ref="L66:L67"/>
    <mergeCell ref="J48:J49"/>
    <mergeCell ref="H68:H69"/>
    <mergeCell ref="F54:F55"/>
    <mergeCell ref="H44:H45"/>
    <mergeCell ref="J66:J67"/>
    <mergeCell ref="H46:H47"/>
    <mergeCell ref="I64:I65"/>
    <mergeCell ref="F52:F53"/>
    <mergeCell ref="E68:E69"/>
    <mergeCell ref="I54:I55"/>
    <mergeCell ref="G50:G51"/>
    <mergeCell ref="E52:E53"/>
    <mergeCell ref="I70:I71"/>
    <mergeCell ref="L68:L69"/>
    <mergeCell ref="I48:I49"/>
    <mergeCell ref="F62:F63"/>
    <mergeCell ref="E54:E55"/>
    <mergeCell ref="G66:G67"/>
    <mergeCell ref="H66:H67"/>
    <mergeCell ref="K62:K63"/>
    <mergeCell ref="L54:L55"/>
    <mergeCell ref="L76:L77"/>
    <mergeCell ref="E92:E93"/>
    <mergeCell ref="F94:F95"/>
    <mergeCell ref="L94:L95"/>
    <mergeCell ref="E82:E83"/>
    <mergeCell ref="I78:I79"/>
    <mergeCell ref="H76:H77"/>
    <mergeCell ref="F44:F45"/>
    <mergeCell ref="E50:E51"/>
    <mergeCell ref="J44:J45"/>
    <mergeCell ref="G82:G83"/>
    <mergeCell ref="K52:K53"/>
    <mergeCell ref="H48:H49"/>
    <mergeCell ref="K70:K71"/>
    <mergeCell ref="K54:K55"/>
    <mergeCell ref="L64:L65"/>
    <mergeCell ref="L62:L63"/>
    <mergeCell ref="L44:L45"/>
    <mergeCell ref="I92:I93"/>
    <mergeCell ref="L48:L49"/>
    <mergeCell ref="G52:G53"/>
    <mergeCell ref="K80:K81"/>
    <mergeCell ref="J90:J91"/>
    <mergeCell ref="L92:L93"/>
    <mergeCell ref="E74:F75"/>
    <mergeCell ref="K44:K45"/>
    <mergeCell ref="H82:H83"/>
    <mergeCell ref="F66:F67"/>
    <mergeCell ref="I52:I53"/>
    <mergeCell ref="F78:F79"/>
    <mergeCell ref="H96:H97"/>
    <mergeCell ref="M94:M95"/>
    <mergeCell ref="L52:L53"/>
    <mergeCell ref="M60:M61"/>
    <mergeCell ref="M76:M77"/>
    <mergeCell ref="M58:M59"/>
    <mergeCell ref="M80:M81"/>
    <mergeCell ref="H78:H79"/>
    <mergeCell ref="G44:G45"/>
    <mergeCell ref="F64:F65"/>
    <mergeCell ref="E64:E65"/>
    <mergeCell ref="J62:J63"/>
    <mergeCell ref="I50:I51"/>
    <mergeCell ref="I82:I83"/>
    <mergeCell ref="L50:L51"/>
    <mergeCell ref="M96:M97"/>
  </mergeCells>
  <pageMargins left="0.7" right="0.7" top="0.75" bottom="0.75" header="0.3" footer="0.3"/>
</worksheet>
</file>

<file path=xl/worksheets/sheet8.xml><?xml version="1.0" encoding="utf-8"?>
<worksheet xmlns:r="http://schemas.openxmlformats.org/officeDocument/2006/relationships" xmlns="http://schemas.openxmlformats.org/spreadsheetml/2006/main">
  <sheetPr>
    <tabColor rgb="FFFFFF00"/>
  </sheetPr>
  <dimension ref="B1:AK66"/>
  <sheetViews>
    <sheetView workbookViewId="0" topLeftCell="A46" showGridLines="0" showRowColHeaders="0">
      <selection activeCell="D57" sqref="D57"/>
    </sheetView>
  </sheetViews>
  <sheetFormatPr defaultRowHeight="15.0" customHeight="1" defaultColWidth="9"/>
  <cols>
    <col min="1" max="1" customWidth="1" width="2.8554688" style="978"/>
    <col min="2" max="2" customWidth="0" width="9.7109375" style="978"/>
    <col min="3" max="3" customWidth="1" width="11.425781" style="978"/>
    <col min="4" max="9" customWidth="0" width="9.7109375" style="978"/>
    <col min="10" max="10" customWidth="1" width="6.7109375" style="978"/>
    <col min="11" max="11" customWidth="1" width="10.7109375" style="978"/>
    <col min="12" max="12" customWidth="1" width="10.425781" style="978"/>
    <col min="13" max="13" customWidth="1" width="9.7109375" style="978"/>
    <col min="14" max="14" customWidth="1" width="5.7109375" style="978"/>
    <col min="15" max="26" customWidth="1" width="7.8554688" style="978"/>
    <col min="27" max="16384" customWidth="0" width="9.7109375" style="978"/>
  </cols>
  <sheetData>
    <row r="1" spans="8:8" ht="15.0" customHeight="1">
      <c r="O1" s="979" t="s">
        <v>197</v>
      </c>
      <c r="Q1" s="978" t="s">
        <v>76</v>
      </c>
      <c r="R1" s="978">
        <f>SIN(RADIANS($T$39))</f>
        <v>0.8650638772571638</v>
      </c>
    </row>
    <row r="2" spans="8:8" ht="15.0" customHeight="1">
      <c r="B2" s="980" t="s">
        <v>264</v>
      </c>
      <c r="C2" s="980"/>
      <c r="D2" s="980"/>
      <c r="L2" s="978" t="s">
        <v>169</v>
      </c>
      <c r="M2" s="978" t="s">
        <v>170</v>
      </c>
      <c r="O2" s="979" t="s">
        <v>199</v>
      </c>
      <c r="Q2" s="978" t="s">
        <v>75</v>
      </c>
      <c r="R2" s="978">
        <f>COS(RADIANS($T$39))</f>
        <v>0.5016617269284179</v>
      </c>
    </row>
    <row r="3" spans="8:8" ht="15.0" customHeight="1">
      <c r="B3" s="980"/>
      <c r="C3" s="980"/>
      <c r="D3" s="980"/>
      <c r="K3" s="981" t="s">
        <v>287</v>
      </c>
      <c r="L3" s="982">
        <f>VLOOKUP($T$36,C5:I5,2)*Calculadora!$E$7*Calculadora!$E$7</f>
        <v>7.995</v>
      </c>
      <c r="M3" s="982">
        <f>VLOOKUP($T$36,C5:I5,2)*Calculadora!$E$7</f>
        <v>7.995</v>
      </c>
      <c r="O3" s="979" t="s">
        <v>200</v>
      </c>
      <c r="T3" s="978">
        <f>P11</f>
        <v>286.0</v>
      </c>
      <c r="U3" s="978">
        <f>P12</f>
        <v>302.0</v>
      </c>
      <c r="V3" s="978">
        <f>P13</f>
        <v>312.0</v>
      </c>
    </row>
    <row r="4" spans="8:8" ht="15.0" customHeight="1">
      <c r="B4" s="983" t="s">
        <v>269</v>
      </c>
      <c r="C4" s="983" t="s">
        <v>286</v>
      </c>
      <c r="D4" s="983" t="s">
        <v>287</v>
      </c>
      <c r="E4" s="984" t="s">
        <v>125</v>
      </c>
      <c r="F4" s="983" t="s">
        <v>270</v>
      </c>
      <c r="G4" s="983" t="s">
        <v>271</v>
      </c>
      <c r="H4" s="983" t="s">
        <v>277</v>
      </c>
      <c r="I4" s="984" t="s">
        <v>130</v>
      </c>
      <c r="K4" s="985" t="s">
        <v>105</v>
      </c>
      <c r="L4" s="982">
        <f>VLOOKUP($T$36,C5:I7,6)</f>
        <v>0.0</v>
      </c>
      <c r="M4" s="982">
        <f>-VLOOKUP($T$36,C5:I7,6)</f>
        <v>0.0</v>
      </c>
      <c r="O4" s="979" t="s">
        <v>201</v>
      </c>
      <c r="S4" s="986">
        <v>0.975</v>
      </c>
      <c r="T4" s="987">
        <f>$T$3*S4</f>
        <v>278.84999999999997</v>
      </c>
      <c r="U4" s="987">
        <f>$U$3*S4</f>
        <v>294.45</v>
      </c>
      <c r="V4" s="987">
        <f>$V$3*S4</f>
        <v>304.2</v>
      </c>
    </row>
    <row r="5" spans="8:8" ht="15.0" customHeight="1">
      <c r="B5" s="988">
        <v>337.78</v>
      </c>
      <c r="C5" s="983">
        <v>338.0</v>
      </c>
      <c r="D5" s="989">
        <f>Calculadora!$E$7*7.995</f>
        <v>7.995</v>
      </c>
      <c r="E5" s="990">
        <v>317.32</v>
      </c>
      <c r="F5" s="989">
        <v>2.75</v>
      </c>
      <c r="G5" s="989" t="e">
        <f>NA()</f>
        <v>#N/A</v>
      </c>
      <c r="H5" s="989">
        <v>0.0</v>
      </c>
      <c r="I5" s="991">
        <v>-3.44</v>
      </c>
      <c r="K5" s="981" t="s">
        <v>288</v>
      </c>
      <c r="L5" s="992">
        <f>L3*$R$1*$T$38+L4</f>
        <v>34.5809284933551</v>
      </c>
      <c r="M5" s="992">
        <f>M3*$R$1*$T$38+M4</f>
        <v>34.5809284933551</v>
      </c>
      <c r="O5" s="979" t="s">
        <v>202</v>
      </c>
      <c r="P5" s="993">
        <f>Calculadora!B5</f>
        <v>0.0</v>
      </c>
      <c r="S5" s="994">
        <f t="shared" si="0" ref="S5:S13">S4+1/360</f>
        <v>0.9777777777777777</v>
      </c>
      <c r="T5" s="987">
        <f t="shared" si="1" ref="T5:T13">$T$3*S5</f>
        <v>279.64444444444445</v>
      </c>
      <c r="U5" s="987">
        <f t="shared" si="2" ref="U5:U13">$U$3*S5</f>
        <v>295.2888888888889</v>
      </c>
      <c r="V5" s="987">
        <f t="shared" si="3" ref="V5:V13">$V$3*S5</f>
        <v>305.06666666666666</v>
      </c>
    </row>
    <row r="6" spans="8:8" ht="15.0" customHeight="1">
      <c r="L6" s="995" t="s">
        <v>272</v>
      </c>
      <c r="M6" s="995" t="s">
        <v>273</v>
      </c>
      <c r="O6" s="979" t="s">
        <v>203</v>
      </c>
      <c r="P6" s="993">
        <f>Calculadora!B6</f>
        <v>0.0</v>
      </c>
      <c r="S6" s="994">
        <f t="shared" si="0"/>
        <v>0.9805555555555557</v>
      </c>
      <c r="T6" s="987">
        <f t="shared" si="1"/>
        <v>280.4388888888889</v>
      </c>
      <c r="U6" s="987">
        <f t="shared" si="2"/>
        <v>296.12777777777785</v>
      </c>
      <c r="V6" s="987">
        <f t="shared" si="3"/>
        <v>305.9333333333334</v>
      </c>
    </row>
    <row r="7" spans="8:8" ht="15.0" customHeight="1">
      <c r="K7" s="985" t="s">
        <v>279</v>
      </c>
      <c r="L7" s="982">
        <f>-VLOOKUP($T$36,C5:I5,4)</f>
        <v>-2.75</v>
      </c>
      <c r="M7" s="982" t="e">
        <f>VLOOKUP($T$36,C5:I5,5)</f>
        <v>#N/A</v>
      </c>
      <c r="O7" s="979" t="s">
        <v>204</v>
      </c>
      <c r="P7" s="996">
        <f>Calculadora!B7</f>
        <v>1.0</v>
      </c>
      <c r="S7" s="994">
        <f t="shared" si="0"/>
        <v>0.9833333333333337</v>
      </c>
      <c r="T7" s="987">
        <f t="shared" si="1"/>
        <v>281.23333333333346</v>
      </c>
      <c r="U7" s="987">
        <f t="shared" si="2"/>
        <v>296.9666666666668</v>
      </c>
      <c r="V7" s="987">
        <f t="shared" si="3"/>
        <v>306.8000000000001</v>
      </c>
    </row>
    <row r="8" spans="8:8" ht="15.0" customHeight="1">
      <c r="K8" s="981" t="s">
        <v>280</v>
      </c>
      <c r="L8" s="992">
        <f>L7*$R$2*$T$38</f>
        <v>-6.897848745265747</v>
      </c>
      <c r="M8" s="982" t="e">
        <f>M7*$R$2*$T$38</f>
        <v>#N/A</v>
      </c>
      <c r="O8" s="979" t="s">
        <v>274</v>
      </c>
      <c r="P8" s="993">
        <f>Calculadora!E7</f>
        <v>1.0</v>
      </c>
      <c r="S8" s="994">
        <f t="shared" si="0"/>
        <v>0.9861111111111117</v>
      </c>
      <c r="T8" s="987">
        <f t="shared" si="1"/>
        <v>282.02777777777794</v>
      </c>
      <c r="U8" s="987">
        <f t="shared" si="2"/>
        <v>297.8055555555557</v>
      </c>
      <c r="V8" s="987">
        <f t="shared" si="3"/>
        <v>307.66666666666686</v>
      </c>
    </row>
    <row r="9" spans="8:8" ht="15.0" customHeight="1">
      <c r="C9" s="997" t="s">
        <v>275</v>
      </c>
      <c r="D9" s="998" t="s">
        <v>169</v>
      </c>
      <c r="E9" s="998" t="s">
        <v>170</v>
      </c>
      <c r="K9" s="985" t="s">
        <v>278</v>
      </c>
      <c r="L9" s="982">
        <f>VLOOKUP($T$36,C5:I5,3)</f>
        <v>317.32</v>
      </c>
      <c r="M9" s="982">
        <f>VLOOKUP($T$36,C5:I5,3)</f>
        <v>317.32</v>
      </c>
      <c r="S9" s="994">
        <f t="shared" si="0"/>
        <v>0.9888888888888898</v>
      </c>
      <c r="T9" s="987">
        <f t="shared" si="1"/>
        <v>282.8222222222225</v>
      </c>
      <c r="U9" s="987">
        <f t="shared" si="2"/>
        <v>298.64444444444473</v>
      </c>
      <c r="V9" s="987">
        <f t="shared" si="3"/>
        <v>308.53333333333364</v>
      </c>
    </row>
    <row r="10" spans="8:8" ht="15.0" customHeight="1">
      <c r="C10" s="999" t="s">
        <v>2</v>
      </c>
      <c r="D10" s="1000">
        <f>L5</f>
        <v>34.5809284933551</v>
      </c>
      <c r="E10" s="1001">
        <f>M5</f>
        <v>34.5809284933551</v>
      </c>
      <c r="K10" s="981" t="s">
        <v>285</v>
      </c>
      <c r="L10" s="1002">
        <f>L8+L9</f>
        <v>310.4221512547342</v>
      </c>
      <c r="M10" s="982" t="e">
        <f>M8+M9</f>
        <v>#N/A</v>
      </c>
      <c r="S10" s="994">
        <f t="shared" si="0"/>
        <v>0.9916666666666678</v>
      </c>
      <c r="T10" s="987">
        <f t="shared" si="1"/>
        <v>283.616666666667</v>
      </c>
      <c r="U10" s="987">
        <f t="shared" si="2"/>
        <v>299.4833333333337</v>
      </c>
      <c r="V10" s="987">
        <f t="shared" si="3"/>
        <v>309.4000000000004</v>
      </c>
    </row>
    <row r="11" spans="8:8" ht="15.0" customHeight="1">
      <c r="C11" s="998" t="s">
        <v>192</v>
      </c>
      <c r="D11" s="1003">
        <f>D10/4</f>
        <v>8.645232123338776</v>
      </c>
      <c r="E11" s="1004">
        <f>E10/4</f>
        <v>8.645232123338776</v>
      </c>
      <c r="K11" s="985" t="s">
        <v>252</v>
      </c>
      <c r="L11" s="1002">
        <f>IF(C9="Spike 1PS",L10*100/$P$12,L10*100/$P$13)</f>
        <v>99.49427924831224</v>
      </c>
      <c r="M11" s="1002" t="e">
        <f>IF(C9="Spike 1PS",M10*100/$P$12,M10*100/$P$13)</f>
        <v>#N/A</v>
      </c>
      <c r="O11" s="979" t="s">
        <v>281</v>
      </c>
      <c r="P11" s="993">
        <f>Caliper!B1</f>
        <v>286.0</v>
      </c>
      <c r="S11" s="994">
        <f t="shared" si="0"/>
        <v>0.9944444444444458</v>
      </c>
      <c r="T11" s="987">
        <f t="shared" si="1"/>
        <v>284.4111111111115</v>
      </c>
      <c r="U11" s="987">
        <f t="shared" si="2"/>
        <v>300.32222222222265</v>
      </c>
      <c r="V11" s="987">
        <f t="shared" si="3"/>
        <v>310.2666666666671</v>
      </c>
    </row>
    <row r="12" spans="8:8" ht="15.0" customHeight="1">
      <c r="C12" s="1005" t="s">
        <v>276</v>
      </c>
      <c r="D12" s="1006">
        <f>L12</f>
        <v>311.13333333335595</v>
      </c>
      <c r="E12" s="1007" t="e">
        <f>M12</f>
        <v>#N/A</v>
      </c>
      <c r="K12" s="981" t="s">
        <v>24</v>
      </c>
      <c r="L12" s="1008">
        <f>IF(C9="Spike 1PS",INDEX(Caliper!$F$291:$F$363,(ROUNDUP(((L11-80)/(20/72))+1,0)),1),INDEX(Caliper!$G$291:$G$363,(ROUNDUP(((L11-80)/(20/72))+1,0)),1))</f>
        <v>311.13333333335595</v>
      </c>
      <c r="M12" s="1008" t="e">
        <f>IF(C9="Spike 1PS",INDEX(Caliper!$F$291:$F$363,(ROUNDUP(((M11-80)/(20/72))+1,0)),1),INDEX(Caliper!$G$291:$G$363,(ROUNDUP(((M11-80)/(20/72))+1,0)),1))</f>
        <v>#N/A</v>
      </c>
      <c r="O12" s="979" t="s">
        <v>282</v>
      </c>
      <c r="P12" s="993">
        <f>P11+10+Caliper!B3</f>
        <v>302.0</v>
      </c>
      <c r="S12" s="994">
        <f t="shared" si="0"/>
        <v>0.9972222222222238</v>
      </c>
      <c r="T12" s="987">
        <f t="shared" si="1"/>
        <v>285.205555555556</v>
      </c>
      <c r="U12" s="987">
        <f t="shared" si="2"/>
        <v>301.1611111111116</v>
      </c>
      <c r="V12" s="987">
        <f t="shared" si="3"/>
        <v>311.13333333333384</v>
      </c>
    </row>
    <row r="13" spans="8:8" ht="15.0" customHeight="1">
      <c r="O13" s="979" t="s">
        <v>283</v>
      </c>
      <c r="P13" s="993">
        <f>P12+10</f>
        <v>312.0</v>
      </c>
      <c r="S13" s="994">
        <f t="shared" si="0"/>
        <v>1.0000000000000018</v>
      </c>
      <c r="T13" s="987">
        <f t="shared" si="1"/>
        <v>286.0000000000005</v>
      </c>
      <c r="U13" s="987">
        <f t="shared" si="2"/>
        <v>302.0000000000005</v>
      </c>
      <c r="V13" s="987">
        <f t="shared" si="3"/>
        <v>312.00000000000057</v>
      </c>
    </row>
    <row r="14" spans="8:8" ht="15.0" customHeight="1">
      <c r="L14" s="995"/>
      <c r="M14" s="995"/>
    </row>
    <row r="15" spans="8:8" ht="15.0" customHeight="1">
      <c r="B15" s="1009" t="s">
        <v>263</v>
      </c>
      <c r="C15" s="1009"/>
      <c r="D15" s="1009"/>
      <c r="L15" s="995" t="s">
        <v>169</v>
      </c>
      <c r="M15" s="995" t="s">
        <v>170</v>
      </c>
      <c r="O15" s="1010">
        <v>324.0</v>
      </c>
      <c r="P15" s="1010"/>
      <c r="Q15" s="1010"/>
      <c r="R15" s="1010"/>
      <c r="S15" s="1010">
        <v>327.0</v>
      </c>
      <c r="T15" s="1010"/>
      <c r="U15" s="1010"/>
      <c r="V15" s="1010"/>
      <c r="W15" s="1010">
        <v>330.0</v>
      </c>
      <c r="X15" s="1010"/>
      <c r="Y15" s="1010"/>
      <c r="Z15" s="1010"/>
    </row>
    <row r="16" spans="8:8" ht="15.0" customHeight="1">
      <c r="B16" s="1009"/>
      <c r="C16" s="1009"/>
      <c r="D16" s="1009"/>
      <c r="K16" s="981" t="s">
        <v>287</v>
      </c>
      <c r="L16" s="982">
        <f>VLOOKUP($T$36,C18:I20,2)*Calculadora!$E$7</f>
        <v>7.834</v>
      </c>
      <c r="M16" s="982">
        <f>VLOOKUP($T$36,C18:I20,2)*Calculadora!$E$7</f>
        <v>7.834</v>
      </c>
      <c r="O16" s="204" t="s">
        <v>212</v>
      </c>
      <c r="P16" s="204" t="s">
        <v>125</v>
      </c>
      <c r="Q16" s="205" t="s">
        <v>218</v>
      </c>
      <c r="R16" s="205" t="s">
        <v>125</v>
      </c>
      <c r="S16" s="204" t="s">
        <v>212</v>
      </c>
      <c r="T16" s="204" t="s">
        <v>125</v>
      </c>
      <c r="U16" s="205" t="s">
        <v>218</v>
      </c>
      <c r="V16" s="205" t="s">
        <v>125</v>
      </c>
      <c r="W16" s="204" t="s">
        <v>212</v>
      </c>
      <c r="X16" s="204" t="s">
        <v>125</v>
      </c>
      <c r="Y16" s="205" t="s">
        <v>218</v>
      </c>
      <c r="Z16" s="205" t="s">
        <v>125</v>
      </c>
    </row>
    <row r="17" spans="8:8" ht="15.0" customHeight="1">
      <c r="B17" s="983" t="s">
        <v>269</v>
      </c>
      <c r="C17" s="983" t="s">
        <v>286</v>
      </c>
      <c r="D17" s="983" t="s">
        <v>287</v>
      </c>
      <c r="E17" s="984" t="s">
        <v>125</v>
      </c>
      <c r="F17" s="983" t="s">
        <v>270</v>
      </c>
      <c r="G17" s="983" t="s">
        <v>271</v>
      </c>
      <c r="H17" s="983" t="s">
        <v>277</v>
      </c>
      <c r="I17" s="984" t="s">
        <v>130</v>
      </c>
      <c r="K17" s="985" t="s">
        <v>105</v>
      </c>
      <c r="L17" s="982">
        <f>VLOOKUP($T$36,C18:I20,6)</f>
        <v>0.0</v>
      </c>
      <c r="M17" s="982">
        <f>-VLOOKUP($T$36,C18:I20,6)</f>
        <v>0.0</v>
      </c>
      <c r="O17" s="216">
        <v>0.0</v>
      </c>
      <c r="P17" s="217">
        <v>276.8</v>
      </c>
      <c r="Q17" s="214">
        <v>0.0</v>
      </c>
      <c r="R17" s="215">
        <v>280.2</v>
      </c>
      <c r="S17" s="216">
        <v>0.0</v>
      </c>
      <c r="T17" s="217">
        <v>280.2</v>
      </c>
      <c r="U17" s="214">
        <v>0.0</v>
      </c>
      <c r="V17" s="215">
        <v>283.5</v>
      </c>
      <c r="W17" s="216">
        <v>0.0</v>
      </c>
      <c r="X17" s="217">
        <v>284.4</v>
      </c>
      <c r="Y17" s="214">
        <v>0.0</v>
      </c>
      <c r="Z17" s="215">
        <v>287.7</v>
      </c>
    </row>
    <row r="18" spans="8:8" ht="15.0" customHeight="1">
      <c r="B18" s="988">
        <v>323.55</v>
      </c>
      <c r="C18" s="983">
        <v>324.0</v>
      </c>
      <c r="D18" s="989">
        <f>Calculadora!$E$7*7.697</f>
        <v>7.697</v>
      </c>
      <c r="E18" s="989">
        <v>278.7</v>
      </c>
      <c r="F18" s="989">
        <v>1.89</v>
      </c>
      <c r="G18" s="989">
        <v>1.91</v>
      </c>
      <c r="H18" s="989">
        <v>0.0</v>
      </c>
      <c r="I18" s="991">
        <v>-8.82</v>
      </c>
      <c r="K18" s="981" t="s">
        <v>288</v>
      </c>
      <c r="L18" s="992">
        <f>L16*$R$1*$T$38+L17</f>
        <v>33.8845520721631</v>
      </c>
      <c r="M18" s="992">
        <f>M16*$R$1*$T$38+M17</f>
        <v>33.8845520721631</v>
      </c>
      <c r="O18" s="212">
        <v>42.8</v>
      </c>
      <c r="P18" s="213">
        <v>277.7</v>
      </c>
      <c r="Q18" s="225">
        <v>53.9</v>
      </c>
      <c r="R18" s="226">
        <v>279.4</v>
      </c>
      <c r="S18" s="212">
        <v>43.8</v>
      </c>
      <c r="T18" s="213">
        <v>281.0</v>
      </c>
      <c r="U18" s="225">
        <v>53.5</v>
      </c>
      <c r="V18" s="226">
        <v>282.7</v>
      </c>
      <c r="W18" s="212">
        <v>52.0</v>
      </c>
      <c r="X18" s="213">
        <v>285.2</v>
      </c>
      <c r="Y18" s="225">
        <v>46.1</v>
      </c>
      <c r="Z18" s="226">
        <v>286.9</v>
      </c>
    </row>
    <row r="19" spans="8:8" ht="15.0" customHeight="1">
      <c r="B19" s="1011">
        <v>326.77</v>
      </c>
      <c r="C19" s="983">
        <v>327.0</v>
      </c>
      <c r="D19" s="989">
        <f>Calculadora!$E$7*7.743</f>
        <v>7.743</v>
      </c>
      <c r="E19" s="989">
        <v>281.9</v>
      </c>
      <c r="F19" s="989">
        <v>1.9</v>
      </c>
      <c r="G19" s="989">
        <v>1.92</v>
      </c>
      <c r="H19" s="989">
        <v>0.0</v>
      </c>
      <c r="I19" s="991">
        <v>-8.82</v>
      </c>
      <c r="L19" s="995" t="s">
        <v>272</v>
      </c>
      <c r="M19" s="995" t="s">
        <v>273</v>
      </c>
      <c r="O19" s="212">
        <v>79.0</v>
      </c>
      <c r="P19" s="213">
        <v>278.5</v>
      </c>
      <c r="Q19" s="225">
        <v>81.4</v>
      </c>
      <c r="R19" s="226">
        <v>278.5</v>
      </c>
      <c r="S19" s="212">
        <v>73.7</v>
      </c>
      <c r="T19" s="213">
        <v>281.9</v>
      </c>
      <c r="U19" s="225">
        <v>80.9</v>
      </c>
      <c r="V19" s="226">
        <v>281.9</v>
      </c>
      <c r="W19" s="212">
        <v>79.8</v>
      </c>
      <c r="X19" s="213">
        <v>286.1</v>
      </c>
      <c r="Y19" s="225">
        <v>75.0</v>
      </c>
      <c r="Z19" s="226">
        <v>286.1</v>
      </c>
    </row>
    <row r="20" spans="8:8" ht="15.0" customHeight="1">
      <c r="B20" s="1012">
        <v>330.02</v>
      </c>
      <c r="C20" s="983">
        <v>330.0</v>
      </c>
      <c r="D20" s="989">
        <f>Calculadora!$E$7*7.834</f>
        <v>7.834</v>
      </c>
      <c r="E20" s="989">
        <v>286.1</v>
      </c>
      <c r="F20" s="989">
        <v>1.91</v>
      </c>
      <c r="G20" s="989">
        <v>1.93</v>
      </c>
      <c r="H20" s="989">
        <v>0.0</v>
      </c>
      <c r="I20" s="991">
        <v>-8.82</v>
      </c>
      <c r="K20" s="985" t="s">
        <v>279</v>
      </c>
      <c r="L20" s="982">
        <f>-VLOOKUP($T$36,C18:I20,4)</f>
        <v>-1.91</v>
      </c>
      <c r="M20" s="982">
        <f>VLOOKUP($T$36,C18:I20,5)</f>
        <v>1.93</v>
      </c>
      <c r="O20" s="212">
        <v>91.0</v>
      </c>
      <c r="P20" s="213"/>
      <c r="Q20" s="225">
        <v>91.0</v>
      </c>
      <c r="R20" s="226"/>
      <c r="S20" s="212">
        <v>91.0</v>
      </c>
      <c r="T20" s="213"/>
      <c r="U20" s="225">
        <v>91.0</v>
      </c>
      <c r="V20" s="226"/>
      <c r="W20" s="212">
        <v>91.0</v>
      </c>
      <c r="X20" s="213"/>
      <c r="Y20" s="225">
        <v>91.0</v>
      </c>
      <c r="Z20" s="226"/>
    </row>
    <row r="21" spans="8:8" ht="15.0" customHeight="1">
      <c r="K21" s="981" t="s">
        <v>280</v>
      </c>
      <c r="L21" s="992">
        <f>L20*$R$2*$T$38</f>
        <v>-4.790869492166391</v>
      </c>
      <c r="M21" s="992">
        <f>M20*$R$2*$T$38</f>
        <v>4.841035664859233</v>
      </c>
      <c r="O21" s="212"/>
      <c r="P21" s="213"/>
      <c r="Q21" s="225"/>
      <c r="R21" s="226"/>
      <c r="S21" s="212"/>
      <c r="T21" s="213"/>
      <c r="U21" s="225"/>
      <c r="V21" s="226"/>
      <c r="W21" s="212"/>
      <c r="X21" s="213"/>
      <c r="Y21" s="225"/>
      <c r="Z21" s="226"/>
    </row>
    <row r="22" spans="8:8" ht="15.0" customHeight="1">
      <c r="C22" s="997" t="s">
        <v>284</v>
      </c>
      <c r="D22" s="998" t="s">
        <v>169</v>
      </c>
      <c r="E22" s="998" t="s">
        <v>170</v>
      </c>
      <c r="K22" s="985" t="s">
        <v>278</v>
      </c>
      <c r="L22" s="982">
        <f>VLOOKUP($T$36,C18:I20,3)</f>
        <v>286.1</v>
      </c>
      <c r="M22" s="982">
        <f>VLOOKUP($T$36,C18:I20,3)</f>
        <v>286.1</v>
      </c>
      <c r="O22" s="212"/>
      <c r="P22" s="213"/>
      <c r="Q22" s="225"/>
      <c r="R22" s="226"/>
      <c r="S22" s="212"/>
      <c r="T22" s="213"/>
      <c r="U22" s="225"/>
      <c r="V22" s="226"/>
      <c r="W22" s="212"/>
      <c r="X22" s="213"/>
      <c r="Y22" s="225"/>
      <c r="Z22" s="226"/>
    </row>
    <row r="23" spans="8:8" ht="15.0" customHeight="1">
      <c r="C23" s="999" t="s">
        <v>2</v>
      </c>
      <c r="D23" s="1000">
        <f>L18</f>
        <v>33.8845520721631</v>
      </c>
      <c r="E23" s="1001">
        <f>M18</f>
        <v>33.8845520721631</v>
      </c>
      <c r="K23" s="981" t="s">
        <v>285</v>
      </c>
      <c r="L23" s="992">
        <f>L21+L22</f>
        <v>281.30913050783363</v>
      </c>
      <c r="M23" s="992">
        <f>M21+M22</f>
        <v>290.94103566485927</v>
      </c>
      <c r="O23" s="212"/>
      <c r="P23" s="213"/>
      <c r="Q23" s="225"/>
      <c r="R23" s="226"/>
      <c r="S23" s="212"/>
      <c r="T23" s="213"/>
      <c r="U23" s="225"/>
      <c r="V23" s="226"/>
      <c r="W23" s="212"/>
      <c r="X23" s="213"/>
      <c r="Y23" s="225"/>
      <c r="Z23" s="226"/>
    </row>
    <row r="24" spans="8:8" ht="15.0" customHeight="1">
      <c r="C24" s="998" t="s">
        <v>192</v>
      </c>
      <c r="D24" s="1003">
        <f>D23/4</f>
        <v>8.471138018040776</v>
      </c>
      <c r="E24" s="1004">
        <f>E23/4</f>
        <v>8.471138018040776</v>
      </c>
      <c r="K24" s="985" t="s">
        <v>252</v>
      </c>
      <c r="L24" s="1002">
        <f>IF(C22="Spike 1PS",L23*100/$P$12,L23*100/$P$13)</f>
        <v>93.14871871120319</v>
      </c>
      <c r="M24" s="1002">
        <f>IF(C22="Spike 1PS",M23*100/$P$12,M23*100/$P$13)</f>
        <v>96.33809127975472</v>
      </c>
      <c r="O24" s="1013"/>
      <c r="P24" s="1014"/>
      <c r="Q24" s="1015"/>
      <c r="R24" s="1016"/>
      <c r="S24" s="1013"/>
      <c r="T24" s="1014"/>
      <c r="U24" s="1015"/>
      <c r="V24" s="1016"/>
      <c r="W24" s="1013"/>
      <c r="X24" s="1014"/>
      <c r="Y24" s="1015"/>
      <c r="Z24" s="1016"/>
    </row>
    <row r="25" spans="8:8" ht="15.0" customHeight="1">
      <c r="C25" s="1005" t="s">
        <v>276</v>
      </c>
      <c r="D25" s="1006" t="b">
        <f>IF($T$36=O15,O25,IF($T$36=S15,S25,IF($T$36=W15,W25)))</f>
        <v>0</v>
      </c>
      <c r="E25" s="1007" t="b">
        <f>IF($T$36=O15,Q25,IF($T$36=S15,U25,IF($T$36=W15,Y25)))</f>
        <v>0</v>
      </c>
      <c r="K25" s="981" t="s">
        <v>24</v>
      </c>
      <c r="L25" s="1008">
        <f>IF(C22="Spike 1PS",INDEX(Caliper!$F$291:$F$363,(ROUNDUP(((L24-80)/(20/72))+1,0)),1),INDEX(Caliper!$G$291:$G$363,(ROUNDUP(((L24-80)/(20/72))+1,0)),1))</f>
        <v>281.866666666687</v>
      </c>
      <c r="M25" s="1008">
        <f>IF(C22="Spike 1PS",INDEX(Caliper!$F$291:$F$363,(ROUNDUP(((M24-80)/(20/72))+1,0)),1),INDEX(Caliper!$G$291:$G$363,(ROUNDUP(((M24-80)/(20/72))+1,0)),1))</f>
        <v>291.0944444444655</v>
      </c>
      <c r="O25" s="247">
        <f>VLOOKUP($T$39,O17:P24,2)</f>
        <v>277.7</v>
      </c>
      <c r="P25" s="248"/>
      <c r="Q25" s="249">
        <f>VLOOKUP($T$39,Q17:R24,2)*Calculadora!$E$7</f>
        <v>279.4</v>
      </c>
      <c r="R25" s="250"/>
      <c r="S25" s="247">
        <f>VLOOKUP($T$39,S17:T24,2)</f>
        <v>281.0</v>
      </c>
      <c r="T25" s="248"/>
      <c r="U25" s="249">
        <f>VLOOKUP($T$39,U17:V24,2)</f>
        <v>282.7</v>
      </c>
      <c r="V25" s="250"/>
      <c r="W25" s="247">
        <f>VLOOKUP($T$39,W17:X24,2)</f>
        <v>285.2</v>
      </c>
      <c r="X25" s="248"/>
      <c r="Y25" s="249">
        <f>VLOOKUP($T$39,Y17:Z24,2)</f>
        <v>286.9</v>
      </c>
      <c r="Z25" s="250"/>
    </row>
    <row r="26" spans="8:8" ht="15.0" customHeight="1"/>
    <row r="27" spans="8:8" ht="15.0" customHeight="1"/>
    <row r="28" spans="8:8" ht="15.0" customHeight="1">
      <c r="B28" s="1009" t="s">
        <v>289</v>
      </c>
      <c r="C28" s="1009"/>
      <c r="D28" s="1009"/>
      <c r="L28" s="995" t="s">
        <v>169</v>
      </c>
      <c r="M28" s="995" t="s">
        <v>170</v>
      </c>
      <c r="O28" s="1010">
        <v>345.0</v>
      </c>
      <c r="P28" s="1010"/>
      <c r="Q28" s="1010"/>
      <c r="R28" s="1010"/>
      <c r="T28" s="978" t="s">
        <v>294</v>
      </c>
      <c r="U28" s="1017">
        <v>296.1</v>
      </c>
      <c r="W28" s="978" t="s">
        <v>296</v>
      </c>
      <c r="X28" s="978">
        <v>301.2</v>
      </c>
    </row>
    <row r="29" spans="8:8" ht="15.0" customHeight="1">
      <c r="B29" s="1009"/>
      <c r="C29" s="1009"/>
      <c r="D29" s="1009"/>
      <c r="K29" s="981" t="s">
        <v>287</v>
      </c>
      <c r="L29" s="982">
        <f>VLOOKUP($T$36,C31:I33,2)*Calculadora!$E$7</f>
        <v>8.415</v>
      </c>
      <c r="M29" s="982">
        <f>VLOOKUP($T$36,C31:I33,2)*Calculadora!$E$7</f>
        <v>8.415</v>
      </c>
      <c r="O29" s="204" t="s">
        <v>212</v>
      </c>
      <c r="P29" s="204" t="s">
        <v>125</v>
      </c>
      <c r="Q29" s="205" t="s">
        <v>218</v>
      </c>
      <c r="R29" s="205" t="s">
        <v>125</v>
      </c>
      <c r="T29" s="978" t="s">
        <v>301</v>
      </c>
      <c r="U29" s="978">
        <v>296.1</v>
      </c>
      <c r="W29" s="978" t="s">
        <v>295</v>
      </c>
      <c r="X29" s="978">
        <v>301.2</v>
      </c>
    </row>
    <row r="30" spans="8:8" ht="15.0" customHeight="1">
      <c r="B30" s="983" t="s">
        <v>269</v>
      </c>
      <c r="C30" s="983" t="s">
        <v>286</v>
      </c>
      <c r="D30" s="983" t="s">
        <v>287</v>
      </c>
      <c r="E30" s="984" t="s">
        <v>125</v>
      </c>
      <c r="F30" s="983" t="s">
        <v>270</v>
      </c>
      <c r="G30" s="983" t="s">
        <v>271</v>
      </c>
      <c r="H30" s="983" t="s">
        <v>277</v>
      </c>
      <c r="I30" s="984" t="s">
        <v>130</v>
      </c>
      <c r="K30" s="985" t="s">
        <v>105</v>
      </c>
      <c r="L30" s="982">
        <f>VLOOKUP($T$36,C31:I33,6)</f>
        <v>0.0</v>
      </c>
      <c r="M30" s="982">
        <f>-VLOOKUP($T$36,C31:I33,6)</f>
        <v>0.0</v>
      </c>
      <c r="O30" s="216">
        <v>0.0</v>
      </c>
      <c r="P30" s="217">
        <v>296.1</v>
      </c>
      <c r="Q30" s="214">
        <v>0.0</v>
      </c>
      <c r="R30" s="215">
        <v>301.2</v>
      </c>
      <c r="T30" s="978" t="s">
        <v>302</v>
      </c>
      <c r="U30" s="1017">
        <v>297.0</v>
      </c>
      <c r="W30" s="978" t="s">
        <v>298</v>
      </c>
      <c r="X30" s="978">
        <v>300.3</v>
      </c>
    </row>
    <row r="31" spans="8:8" ht="15.0" customHeight="1">
      <c r="B31" s="988">
        <v>344.95</v>
      </c>
      <c r="C31" s="983">
        <v>345.0</v>
      </c>
      <c r="D31" s="989">
        <f>Calculadora!$E$7*8.415</f>
        <v>8.415</v>
      </c>
      <c r="E31" s="989">
        <v>300.38</v>
      </c>
      <c r="F31" s="989">
        <v>2.4</v>
      </c>
      <c r="G31" s="989">
        <v>2.5</v>
      </c>
      <c r="H31" s="989">
        <v>0.0</v>
      </c>
      <c r="I31" s="991">
        <v>-12.8</v>
      </c>
      <c r="K31" s="981" t="s">
        <v>288</v>
      </c>
      <c r="L31" s="992">
        <f>L29*$R$1*$T$38+L30</f>
        <v>36.3975626355952</v>
      </c>
      <c r="M31" s="992">
        <f>M29*$R$1*$T$38+M30</f>
        <v>36.3975626355952</v>
      </c>
      <c r="O31" s="212">
        <v>25.0</v>
      </c>
      <c r="P31" s="213">
        <v>297.0</v>
      </c>
      <c r="Q31" s="225">
        <v>45.0</v>
      </c>
      <c r="R31" s="226">
        <v>300.3</v>
      </c>
      <c r="T31" s="978" t="s">
        <v>293</v>
      </c>
      <c r="U31" s="1017">
        <v>297.0</v>
      </c>
      <c r="W31" s="978" t="s">
        <v>299</v>
      </c>
      <c r="X31" s="978">
        <v>300.3</v>
      </c>
    </row>
    <row r="32" spans="8:8" ht="15.0" customHeight="1">
      <c r="L32" s="995" t="s">
        <v>272</v>
      </c>
      <c r="M32" s="995" t="s">
        <v>273</v>
      </c>
      <c r="O32" s="212">
        <v>55.0</v>
      </c>
      <c r="P32" s="213">
        <v>297.8</v>
      </c>
      <c r="Q32" s="225">
        <v>75.5</v>
      </c>
      <c r="R32" s="226">
        <v>299.5</v>
      </c>
      <c r="T32" s="978" t="s">
        <v>291</v>
      </c>
      <c r="U32" s="1017">
        <v>297.8</v>
      </c>
      <c r="W32" s="978" t="s">
        <v>292</v>
      </c>
      <c r="X32" s="978">
        <v>299.5</v>
      </c>
    </row>
    <row r="33" spans="8:8" ht="15.0" customHeight="1">
      <c r="K33" s="985" t="s">
        <v>279</v>
      </c>
      <c r="L33" s="982">
        <f>-VLOOKUP($T$36,C31:I33,4)</f>
        <v>-2.4</v>
      </c>
      <c r="M33" s="982">
        <f>VLOOKUP($T$36,C31:I33,5)</f>
        <v>2.5</v>
      </c>
      <c r="O33" s="212">
        <v>77.0</v>
      </c>
      <c r="P33" s="213">
        <v>298.6</v>
      </c>
      <c r="Q33" s="225">
        <v>88.0</v>
      </c>
      <c r="R33" s="226">
        <v>298.6</v>
      </c>
      <c r="T33" s="978" t="s">
        <v>300</v>
      </c>
      <c r="U33" s="978">
        <v>298.6</v>
      </c>
    </row>
    <row r="34" spans="8:8" ht="15.0" customHeight="1">
      <c r="K34" s="981" t="s">
        <v>280</v>
      </c>
      <c r="L34" s="992">
        <f>L33*$R$2*$T$38</f>
        <v>-6.019940723141016</v>
      </c>
      <c r="M34" s="992">
        <f>M33*$R$2*$T$38</f>
        <v>6.270771586605224</v>
      </c>
      <c r="O34" s="212">
        <v>91.0</v>
      </c>
      <c r="P34" s="213"/>
      <c r="Q34" s="225">
        <v>91.0</v>
      </c>
      <c r="R34" s="226"/>
      <c r="T34" s="978" t="s">
        <v>297</v>
      </c>
      <c r="U34" s="978">
        <v>298.6</v>
      </c>
    </row>
    <row r="35" spans="8:8" ht="15.0" customHeight="1">
      <c r="C35" s="997" t="s">
        <v>284</v>
      </c>
      <c r="D35" s="998" t="s">
        <v>169</v>
      </c>
      <c r="E35" s="998" t="s">
        <v>170</v>
      </c>
      <c r="K35" s="985" t="s">
        <v>278</v>
      </c>
      <c r="L35" s="982">
        <f>VLOOKUP($T$36,C31:I33,3)</f>
        <v>300.38</v>
      </c>
      <c r="M35" s="982">
        <f>VLOOKUP($T$36,C31:I33,3)</f>
        <v>300.38</v>
      </c>
      <c r="O35" s="212"/>
      <c r="P35" s="213"/>
      <c r="Q35" s="225"/>
      <c r="R35" s="226"/>
    </row>
    <row r="36" spans="8:8" ht="15.0" customHeight="1">
      <c r="C36" s="999" t="s">
        <v>2</v>
      </c>
      <c r="D36" s="1000">
        <f>L31</f>
        <v>36.3975626355952</v>
      </c>
      <c r="E36" s="1001">
        <f>M31</f>
        <v>36.3975626355952</v>
      </c>
      <c r="K36" s="981" t="s">
        <v>285</v>
      </c>
      <c r="L36" s="992">
        <f>L34+L35</f>
        <v>294.360059276859</v>
      </c>
      <c r="M36" s="992">
        <f>M34+M35</f>
        <v>306.65077158660523</v>
      </c>
      <c r="O36" s="212"/>
      <c r="P36" s="213"/>
      <c r="Q36" s="225"/>
      <c r="R36" s="226"/>
      <c r="T36" s="993">
        <f>Calculadora!B1</f>
        <v>261.88</v>
      </c>
    </row>
    <row r="37" spans="8:8" ht="15.0" customHeight="1">
      <c r="C37" s="998" t="s">
        <v>192</v>
      </c>
      <c r="D37" s="1003">
        <f>D36/4</f>
        <v>9.0993906588988</v>
      </c>
      <c r="E37" s="1004">
        <f>E36/4</f>
        <v>9.0993906588988</v>
      </c>
      <c r="K37" s="985" t="s">
        <v>252</v>
      </c>
      <c r="L37" s="1002">
        <f>IF(C35="Spike 1PS",L36*100/$P$12,L36*100/$P$13)</f>
        <v>97.47021830359569</v>
      </c>
      <c r="M37" s="1002">
        <f>IF(C35="Spike 1PS",M36*100/$P$12,M36*100/$P$13)</f>
        <v>101.53999059159113</v>
      </c>
      <c r="O37" s="1013"/>
      <c r="P37" s="1014"/>
      <c r="Q37" s="1015"/>
      <c r="R37" s="1016"/>
      <c r="T37" s="993">
        <f>Calculadora!B2</f>
        <v>0.95</v>
      </c>
      <c r="W37" s="1017"/>
    </row>
    <row r="38" spans="8:8" ht="15.0" customHeight="1">
      <c r="C38" s="1005" t="s">
        <v>276</v>
      </c>
      <c r="D38" s="1006" t="b">
        <f>IF($T$36=O28,O38)</f>
        <v>0</v>
      </c>
      <c r="E38" s="1007" t="b">
        <f>IF($T$36=O28,Q38)</f>
        <v>0</v>
      </c>
      <c r="K38" s="981" t="s">
        <v>24</v>
      </c>
      <c r="L38" s="1008">
        <f>IF(C35="Spike 1PS",INDEX(Caliper!$F$291:$F$363,(ROUNDUP(((L37-80)/(20/72))+1,0)),1),INDEX(Caliper!$G$291:$G$363,(ROUNDUP(((L37-80)/(20/72))+1,0)),1))</f>
        <v>294.460000000021</v>
      </c>
      <c r="M38" s="1008" t="e">
        <f>IF(C35="Spike 1PS",INDEX(Caliper!$F$291:$F$363,(ROUNDUP(((M37-80)/(20/72))+1,0)),1),INDEX(Caliper!$G$291:$G$363,(ROUNDUP(((M37-80)/(20/72))+1,0)),1))</f>
        <v>#REF!</v>
      </c>
      <c r="O38" s="247">
        <f>VLOOKUP($T$39,O30:P37,2)</f>
        <v>297.8</v>
      </c>
      <c r="P38" s="248"/>
      <c r="Q38" s="249">
        <f>VLOOKUP($T$39,Q30:R37,2)</f>
        <v>300.3</v>
      </c>
      <c r="R38" s="250"/>
      <c r="T38" s="993">
        <f>Calculadora!B3</f>
        <v>5.0</v>
      </c>
      <c r="W38" s="1017"/>
    </row>
    <row r="39" spans="8:8" ht="15.0" customHeight="1">
      <c r="D39" s="1017"/>
      <c r="T39" s="993">
        <f>Calculadora!B4</f>
        <v>59.89</v>
      </c>
    </row>
    <row r="40" spans="8:8" ht="15.0" customHeight="1"/>
    <row r="41" spans="8:8" ht="15.0" customHeight="1">
      <c r="B41" s="1009" t="s">
        <v>290</v>
      </c>
      <c r="C41" s="1009"/>
      <c r="D41" s="1009"/>
      <c r="L41" s="995" t="s">
        <v>169</v>
      </c>
      <c r="M41" s="995" t="s">
        <v>170</v>
      </c>
      <c r="O41" s="1010">
        <v>332.0</v>
      </c>
      <c r="P41" s="1010"/>
      <c r="Q41" s="1010"/>
      <c r="R41" s="1010"/>
      <c r="T41" s="978" t="s">
        <v>308</v>
      </c>
      <c r="U41" s="1017">
        <v>291.1</v>
      </c>
      <c r="X41" s="1017"/>
    </row>
    <row r="42" spans="8:8" ht="15.0" customHeight="1">
      <c r="B42" s="1009"/>
      <c r="C42" s="1009"/>
      <c r="D42" s="1009"/>
      <c r="K42" s="981" t="s">
        <v>287</v>
      </c>
      <c r="L42" s="982">
        <f>VLOOKUP($T$36,C44:I46,2)*Calculadora!$E$7</f>
        <v>8.025</v>
      </c>
      <c r="M42" s="982">
        <f>VLOOKUP($T$36,C44:I46,2)*Calculadora!$E$7</f>
        <v>8.025</v>
      </c>
      <c r="O42" s="204" t="s">
        <v>212</v>
      </c>
      <c r="P42" s="204" t="s">
        <v>125</v>
      </c>
      <c r="Q42" s="205" t="s">
        <v>218</v>
      </c>
      <c r="R42" s="205" t="s">
        <v>125</v>
      </c>
      <c r="T42" s="978" t="s">
        <v>304</v>
      </c>
      <c r="U42" s="1017">
        <v>291.1</v>
      </c>
    </row>
    <row r="43" spans="8:8" ht="15.0" customHeight="1">
      <c r="B43" s="983" t="s">
        <v>269</v>
      </c>
      <c r="C43" s="983" t="s">
        <v>286</v>
      </c>
      <c r="D43" s="983" t="s">
        <v>287</v>
      </c>
      <c r="E43" s="984" t="s">
        <v>125</v>
      </c>
      <c r="F43" s="983" t="s">
        <v>270</v>
      </c>
      <c r="G43" s="983" t="s">
        <v>271</v>
      </c>
      <c r="H43" s="983" t="s">
        <v>277</v>
      </c>
      <c r="I43" s="984" t="s">
        <v>130</v>
      </c>
      <c r="K43" s="985" t="s">
        <v>105</v>
      </c>
      <c r="L43" s="982">
        <f>VLOOKUP($T$36,C44:I46,6)</f>
        <v>-0.1</v>
      </c>
      <c r="M43" s="982">
        <f>-VLOOKUP($T$36,C44:I46,6)</f>
        <v>0.1</v>
      </c>
      <c r="O43" s="216">
        <v>0.0</v>
      </c>
      <c r="P43" s="217">
        <v>291.1</v>
      </c>
      <c r="Q43" s="214">
        <v>0.0</v>
      </c>
      <c r="R43" s="215">
        <v>295.3</v>
      </c>
      <c r="T43" s="978" t="s">
        <v>302</v>
      </c>
      <c r="U43" s="1017">
        <v>291.9</v>
      </c>
      <c r="X43" s="1017"/>
    </row>
    <row r="44" spans="8:8" ht="15.0" customHeight="1">
      <c r="B44" s="988">
        <v>331.61</v>
      </c>
      <c r="C44" s="983">
        <v>332.0</v>
      </c>
      <c r="D44" s="989">
        <f>Calculadora!$E$7*7.852</f>
        <v>7.852</v>
      </c>
      <c r="E44" s="989">
        <v>293.2</v>
      </c>
      <c r="F44" s="989">
        <v>1.81</v>
      </c>
      <c r="G44" s="989">
        <v>1.83</v>
      </c>
      <c r="H44" s="989">
        <f>Calculadora!$E$7*-0.1</f>
        <v>-0.1</v>
      </c>
      <c r="I44" s="991">
        <v>-4.93</v>
      </c>
      <c r="K44" s="981" t="s">
        <v>288</v>
      </c>
      <c r="L44" s="992">
        <f>L42*$R$1*$T$38+L43</f>
        <v>34.610688074943695</v>
      </c>
      <c r="M44" s="992">
        <f>M42*$R$1*$T$38+M43</f>
        <v>34.8106880749437</v>
      </c>
      <c r="O44" s="212">
        <v>37.0</v>
      </c>
      <c r="P44" s="213">
        <v>291.9</v>
      </c>
      <c r="Q44" s="225">
        <v>25.0</v>
      </c>
      <c r="R44" s="226">
        <v>294.5</v>
      </c>
      <c r="T44" s="978" t="s">
        <v>310</v>
      </c>
      <c r="U44" s="1017">
        <v>291.9</v>
      </c>
      <c r="X44" s="1017"/>
    </row>
    <row r="45" spans="8:8" ht="15.0" customHeight="1">
      <c r="B45" s="988">
        <v>340.9</v>
      </c>
      <c r="C45" s="983">
        <v>341.0</v>
      </c>
      <c r="D45" s="989">
        <f>Calculadora!$E$7*8.025</f>
        <v>8.025</v>
      </c>
      <c r="E45" s="989">
        <v>318.32</v>
      </c>
      <c r="F45" s="989">
        <v>2.4</v>
      </c>
      <c r="G45" s="989">
        <v>2.45</v>
      </c>
      <c r="H45" s="989">
        <f>Calculadora!$E$7*-0.1</f>
        <v>-0.1</v>
      </c>
      <c r="I45" s="991">
        <v>-5.03</v>
      </c>
      <c r="L45" s="995" t="s">
        <v>272</v>
      </c>
      <c r="M45" s="995" t="s">
        <v>273</v>
      </c>
      <c r="O45" s="212">
        <v>65.0</v>
      </c>
      <c r="P45" s="213">
        <v>292.8</v>
      </c>
      <c r="Q45" s="225">
        <v>58.0</v>
      </c>
      <c r="R45" s="226">
        <v>293.6</v>
      </c>
      <c r="T45" s="978" t="s">
        <v>305</v>
      </c>
      <c r="U45" s="1017">
        <v>292.8</v>
      </c>
      <c r="X45" s="1017"/>
    </row>
    <row r="46" spans="8:8" ht="15.0" customHeight="1">
      <c r="K46" s="985" t="s">
        <v>279</v>
      </c>
      <c r="L46" s="982">
        <f>-VLOOKUP($T$36,C44:I46,4)</f>
        <v>-2.4</v>
      </c>
      <c r="M46" s="982">
        <f>VLOOKUP($T$36,C44:I46,5)</f>
        <v>2.45</v>
      </c>
      <c r="O46" s="212">
        <v>91.0</v>
      </c>
      <c r="P46" s="213">
        <v>293.6</v>
      </c>
      <c r="Q46" s="225">
        <v>80.0</v>
      </c>
      <c r="R46" s="226">
        <v>292.8</v>
      </c>
      <c r="T46" s="978" t="s">
        <v>307</v>
      </c>
      <c r="U46" s="1017">
        <v>292.8</v>
      </c>
    </row>
    <row r="47" spans="8:8" ht="15.0" customHeight="1">
      <c r="K47" s="981" t="s">
        <v>280</v>
      </c>
      <c r="L47" s="992">
        <f>L46*$R$2*$T$38</f>
        <v>-6.019940723141016</v>
      </c>
      <c r="M47" s="992">
        <f>M46*$R$2*$T$38</f>
        <v>6.14535615487312</v>
      </c>
      <c r="O47" s="212">
        <v>91.0</v>
      </c>
      <c r="P47" s="213"/>
      <c r="Q47" s="225">
        <v>91.0</v>
      </c>
      <c r="R47" s="226"/>
    </row>
    <row r="48" spans="8:8" ht="15.0" customHeight="1">
      <c r="C48" s="997" t="str">
        <f>IF($T$36=O41,"Spike 1PS","Spike 2PS")</f>
        <v>Spike 2PS</v>
      </c>
      <c r="D48" s="998" t="s">
        <v>169</v>
      </c>
      <c r="E48" s="998" t="s">
        <v>170</v>
      </c>
      <c r="K48" s="985" t="s">
        <v>278</v>
      </c>
      <c r="L48" s="982">
        <f>VLOOKUP($T$36,C44:I46,3)</f>
        <v>318.32</v>
      </c>
      <c r="M48" s="982">
        <f>VLOOKUP($T$36,C44:I46,3)</f>
        <v>318.32</v>
      </c>
      <c r="O48" s="212"/>
      <c r="P48" s="213"/>
      <c r="Q48" s="225"/>
      <c r="R48" s="226"/>
      <c r="T48" s="978" t="s">
        <v>306</v>
      </c>
      <c r="U48" s="1017">
        <v>295.3</v>
      </c>
    </row>
    <row r="49" spans="8:8" ht="15.0" customHeight="1">
      <c r="C49" s="999" t="s">
        <v>2</v>
      </c>
      <c r="D49" s="1000">
        <f>L44</f>
        <v>34.610688074943695</v>
      </c>
      <c r="E49" s="1001">
        <f>M44</f>
        <v>34.8106880749437</v>
      </c>
      <c r="K49" s="981" t="s">
        <v>285</v>
      </c>
      <c r="L49" s="992">
        <f>L47+L48</f>
        <v>312.300059276859</v>
      </c>
      <c r="M49" s="992">
        <f>M47+M48</f>
        <v>324.4653561548731</v>
      </c>
      <c r="O49" s="212"/>
      <c r="P49" s="213"/>
      <c r="Q49" s="225"/>
      <c r="R49" s="226"/>
    </row>
    <row r="50" spans="8:8" ht="15.0" customHeight="1">
      <c r="C50" s="998" t="s">
        <v>192</v>
      </c>
      <c r="D50" s="1003">
        <f>D49/4</f>
        <v>8.652672018735924</v>
      </c>
      <c r="E50" s="1004">
        <f>E49/4</f>
        <v>8.702672018735925</v>
      </c>
      <c r="K50" s="985" t="s">
        <v>252</v>
      </c>
      <c r="L50" s="1002">
        <f>IF(C48="Spike 1PS",L49*100/$P$12,L49*100/$P$13)</f>
        <v>100.0961728451471</v>
      </c>
      <c r="M50" s="1002">
        <f>IF(C48="Spike 1PS",M49*100/$P$12,M49*100/$P$13)</f>
        <v>103.99530645989523</v>
      </c>
      <c r="O50" s="1013"/>
      <c r="P50" s="1014"/>
      <c r="Q50" s="1015"/>
      <c r="R50" s="1016"/>
      <c r="T50" s="978" t="s">
        <v>309</v>
      </c>
      <c r="U50" s="1017">
        <v>294.5</v>
      </c>
    </row>
    <row r="51" spans="8:8" ht="15.0" customHeight="1">
      <c r="C51" s="1005" t="s">
        <v>276</v>
      </c>
      <c r="D51" s="1006" t="e">
        <f>IF($T$36=O41,O51,L51)</f>
        <v>#REF!</v>
      </c>
      <c r="E51" s="1007" t="e">
        <f>IF($T$36=O41,Q51,M51)</f>
        <v>#REF!</v>
      </c>
      <c r="K51" s="981" t="s">
        <v>24</v>
      </c>
      <c r="L51" s="1008" t="e">
        <f>IF(C48="Spike 1PS",INDEX(Caliper!$F$291:$F$363,(ROUNDUP(((L50-80)/(20/72))+1,0)),1),INDEX(Caliper!$G$291:$G$363,(ROUNDUP(((L50-80)/(20/72))+1,0)),1))</f>
        <v>#REF!</v>
      </c>
      <c r="M51" s="1008" t="e">
        <f>IF(C48="Spike 1PS",INDEX(Caliper!$F$291:$F$363,(ROUNDUP(((M50-80)/(20/72))+1,0)),1),INDEX(Caliper!$G$291:$G$363,(ROUNDUP(((M50-80)/(20/72))+1,0)),1))</f>
        <v>#REF!</v>
      </c>
      <c r="O51" s="247">
        <f>VLOOKUP($T$39,O43:P50,2)</f>
        <v>291.9</v>
      </c>
      <c r="P51" s="248"/>
      <c r="Q51" s="249">
        <f>VLOOKUP($T$39,Q43:R50,2)</f>
        <v>293.6</v>
      </c>
      <c r="R51" s="250"/>
      <c r="T51" s="978" t="s">
        <v>303</v>
      </c>
      <c r="U51" s="978">
        <v>293.6</v>
      </c>
    </row>
    <row r="52" spans="8:8" ht="15.0" customHeight="1"/>
    <row r="53" spans="8:8" ht="15.0" customHeight="1"/>
    <row r="54" spans="8:8" ht="15.0" customHeight="1">
      <c r="B54" s="1009" t="s">
        <v>316</v>
      </c>
      <c r="C54" s="1009"/>
      <c r="D54" s="1009"/>
      <c r="L54" s="995" t="s">
        <v>169</v>
      </c>
      <c r="M54" s="995" t="s">
        <v>170</v>
      </c>
      <c r="O54" s="1010">
        <v>213.0</v>
      </c>
      <c r="P54" s="1010"/>
      <c r="Q54" s="1010"/>
      <c r="R54" s="1010"/>
      <c r="S54" s="1010">
        <v>214.0</v>
      </c>
      <c r="T54" s="1010"/>
      <c r="U54" s="1010"/>
      <c r="V54" s="1010"/>
      <c r="W54" s="1010">
        <v>225.0</v>
      </c>
      <c r="X54" s="1010"/>
      <c r="Y54" s="1010"/>
      <c r="Z54" s="1010"/>
    </row>
    <row r="55" spans="8:8" ht="15.0" customHeight="1">
      <c r="B55" s="1009"/>
      <c r="C55" s="1009"/>
      <c r="D55" s="1009"/>
      <c r="K55" s="981" t="s">
        <v>287</v>
      </c>
      <c r="L55" s="982">
        <f>VLOOKUP($T$36,C57:I59,2)*Calculadora!$E$7</f>
        <v>6.28</v>
      </c>
      <c r="M55" s="982">
        <f>VLOOKUP($T$36,C57:I59,2)*Calculadora!$E$7</f>
        <v>6.28</v>
      </c>
      <c r="O55" s="204" t="s">
        <v>212</v>
      </c>
      <c r="P55" s="204" t="s">
        <v>125</v>
      </c>
      <c r="Q55" s="205" t="s">
        <v>218</v>
      </c>
      <c r="R55" s="205" t="s">
        <v>125</v>
      </c>
      <c r="S55" s="204" t="s">
        <v>212</v>
      </c>
      <c r="T55" s="204" t="s">
        <v>125</v>
      </c>
      <c r="U55" s="205" t="s">
        <v>218</v>
      </c>
      <c r="V55" s="205" t="s">
        <v>125</v>
      </c>
      <c r="W55" s="204" t="s">
        <v>212</v>
      </c>
      <c r="X55" s="204" t="s">
        <v>125</v>
      </c>
      <c r="Y55" s="205" t="s">
        <v>218</v>
      </c>
      <c r="Z55" s="205" t="s">
        <v>125</v>
      </c>
    </row>
    <row r="56" spans="8:8" ht="15.0" customHeight="1">
      <c r="B56" s="983" t="s">
        <v>269</v>
      </c>
      <c r="C56" s="983" t="s">
        <v>286</v>
      </c>
      <c r="D56" s="983" t="s">
        <v>287</v>
      </c>
      <c r="E56" s="984" t="s">
        <v>125</v>
      </c>
      <c r="F56" s="983" t="s">
        <v>270</v>
      </c>
      <c r="G56" s="983" t="s">
        <v>271</v>
      </c>
      <c r="H56" s="983" t="s">
        <v>277</v>
      </c>
      <c r="I56" s="984" t="s">
        <v>130</v>
      </c>
      <c r="K56" s="985" t="s">
        <v>105</v>
      </c>
      <c r="L56" s="982">
        <f>VLOOKUP($T$36,C57:I59,6)</f>
        <v>-0.11</v>
      </c>
      <c r="M56" s="982">
        <f>-VLOOKUP($T$36,C57:I59,6)</f>
        <v>0.11</v>
      </c>
      <c r="O56" s="216">
        <v>0.0</v>
      </c>
      <c r="P56" s="217"/>
      <c r="Q56" s="214">
        <v>0.0</v>
      </c>
      <c r="R56" s="215"/>
      <c r="S56" s="216">
        <v>0.0</v>
      </c>
      <c r="T56" s="217"/>
      <c r="U56" s="214">
        <v>0.0</v>
      </c>
      <c r="V56" s="215" t="s">
        <v>318</v>
      </c>
      <c r="W56" s="216">
        <v>0.0</v>
      </c>
      <c r="X56" s="217" t="s">
        <v>317</v>
      </c>
      <c r="Y56" s="214">
        <v>0.0</v>
      </c>
      <c r="Z56" s="215"/>
    </row>
    <row r="57" spans="8:8" ht="15.0" customHeight="1">
      <c r="B57" s="988">
        <v>212.57</v>
      </c>
      <c r="C57" s="983">
        <v>213.0</v>
      </c>
      <c r="D57" s="989">
        <f>Calculadora!$E$7*5.55</f>
        <v>5.55</v>
      </c>
      <c r="E57" s="989">
        <v>198.6</v>
      </c>
      <c r="F57" s="989">
        <v>1.79</v>
      </c>
      <c r="G57" s="989">
        <v>2.25</v>
      </c>
      <c r="H57" s="1018">
        <f>Calculadora!$E$7*-0.02</f>
        <v>-0.02</v>
      </c>
      <c r="I57" s="991">
        <v>-79.1</v>
      </c>
      <c r="K57" s="981" t="s">
        <v>288</v>
      </c>
      <c r="L57" s="992">
        <f>L55*$R$1*$T$38+L56</f>
        <v>27.053005745874902</v>
      </c>
      <c r="M57" s="992">
        <f>M55*$R$1*$T$38+M56</f>
        <v>27.2730057458749</v>
      </c>
      <c r="O57" s="212"/>
      <c r="P57" s="213"/>
      <c r="Q57" s="225"/>
      <c r="R57" s="226"/>
      <c r="S57" s="212"/>
      <c r="T57" s="213"/>
      <c r="U57" s="225">
        <v>15.0</v>
      </c>
      <c r="V57" s="226"/>
      <c r="W57" s="212"/>
      <c r="X57" s="213"/>
      <c r="Y57" s="225"/>
      <c r="Z57" s="226"/>
    </row>
    <row r="58" spans="8:8" ht="15.0" customHeight="1">
      <c r="B58" s="1011">
        <v>214.29</v>
      </c>
      <c r="C58" s="983">
        <v>214.0</v>
      </c>
      <c r="D58" s="989">
        <f>Calculadora!$E$7*5.61</f>
        <v>5.61</v>
      </c>
      <c r="E58" s="989">
        <v>200.1</v>
      </c>
      <c r="F58" s="989">
        <v>1.82</v>
      </c>
      <c r="G58" s="989">
        <v>2.3</v>
      </c>
      <c r="H58" s="1018">
        <f>Calculadora!$E$7*-0.04</f>
        <v>-0.04</v>
      </c>
      <c r="I58" s="991">
        <v>-79.8</v>
      </c>
      <c r="L58" s="995" t="s">
        <v>272</v>
      </c>
      <c r="M58" s="995" t="s">
        <v>273</v>
      </c>
      <c r="O58" s="212"/>
      <c r="P58" s="213"/>
      <c r="Q58" s="225"/>
      <c r="R58" s="226"/>
      <c r="S58" s="212"/>
      <c r="T58" s="213"/>
      <c r="U58" s="225"/>
      <c r="V58" s="226"/>
      <c r="W58" s="212"/>
      <c r="X58" s="213"/>
      <c r="Y58" s="225"/>
      <c r="Z58" s="226"/>
    </row>
    <row r="59" spans="8:8" ht="15.0" customHeight="1">
      <c r="B59" s="1012">
        <v>225.42</v>
      </c>
      <c r="C59" s="983">
        <v>225.0</v>
      </c>
      <c r="D59" s="989">
        <f>Calculadora!$E$7*6.28</f>
        <v>6.28</v>
      </c>
      <c r="E59" s="989">
        <v>214.5</v>
      </c>
      <c r="F59" s="989">
        <v>1.99</v>
      </c>
      <c r="G59" s="989">
        <v>2.46</v>
      </c>
      <c r="H59" s="1018">
        <f>Calculadora!$E$7*-0.11</f>
        <v>-0.11</v>
      </c>
      <c r="I59" s="991">
        <v>-79.6</v>
      </c>
      <c r="K59" s="985" t="s">
        <v>279</v>
      </c>
      <c r="L59" s="982">
        <f>-VLOOKUP($T$36,C57:I59,4)</f>
        <v>-1.99</v>
      </c>
      <c r="M59" s="982">
        <f>VLOOKUP($T$36,C57:I59,5)</f>
        <v>2.46</v>
      </c>
      <c r="O59" s="212"/>
      <c r="P59" s="213"/>
      <c r="Q59" s="225"/>
      <c r="R59" s="226"/>
      <c r="S59" s="212"/>
      <c r="T59" s="213"/>
      <c r="U59" s="225"/>
      <c r="V59" s="226"/>
      <c r="W59" s="212"/>
      <c r="X59" s="213"/>
      <c r="Y59" s="225"/>
      <c r="Z59" s="226"/>
    </row>
    <row r="60" spans="8:8" ht="15.0" customHeight="1">
      <c r="K60" s="981" t="s">
        <v>280</v>
      </c>
      <c r="L60" s="992">
        <f>L59*$R$2*$T$38</f>
        <v>-4.991534182937759</v>
      </c>
      <c r="M60" s="992">
        <f>M59*$R$2*$T$38</f>
        <v>6.17043924121954</v>
      </c>
      <c r="O60" s="212"/>
      <c r="P60" s="213"/>
      <c r="Q60" s="225"/>
      <c r="R60" s="226"/>
      <c r="S60" s="212"/>
      <c r="T60" s="213"/>
      <c r="U60" s="225"/>
      <c r="V60" s="226"/>
      <c r="W60" s="212"/>
      <c r="X60" s="213"/>
      <c r="Y60" s="225"/>
      <c r="Z60" s="226"/>
    </row>
    <row r="61" spans="8:8" ht="15.0" customHeight="1">
      <c r="C61" s="997" t="s">
        <v>129</v>
      </c>
      <c r="D61" s="998" t="s">
        <v>169</v>
      </c>
      <c r="E61" s="998" t="s">
        <v>170</v>
      </c>
      <c r="G61" s="1019" t="s">
        <v>17</v>
      </c>
      <c r="H61" s="619"/>
      <c r="I61" s="354"/>
      <c r="K61" s="985" t="s">
        <v>278</v>
      </c>
      <c r="L61" s="982">
        <f>VLOOKUP($T$36,C57:I59,3)</f>
        <v>214.5</v>
      </c>
      <c r="M61" s="982">
        <f>VLOOKUP($T$36,C57:I59,3)</f>
        <v>214.5</v>
      </c>
      <c r="O61" s="212"/>
      <c r="P61" s="213"/>
      <c r="Q61" s="225"/>
      <c r="R61" s="226"/>
      <c r="S61" s="212"/>
      <c r="T61" s="213"/>
      <c r="U61" s="225"/>
      <c r="V61" s="226"/>
      <c r="W61" s="212"/>
      <c r="X61" s="213"/>
      <c r="Y61" s="225"/>
      <c r="Z61" s="226"/>
    </row>
    <row r="62" spans="8:8" ht="15.0" customHeight="1">
      <c r="C62" s="999" t="s">
        <v>2</v>
      </c>
      <c r="D62" s="1000">
        <f>L57</f>
        <v>27.053005745874902</v>
      </c>
      <c r="E62" s="1001">
        <f>M57</f>
        <v>27.2730057458749</v>
      </c>
      <c r="G62" s="366">
        <f>MOD(L63,20/72)</f>
        <v>0.16604301506594843</v>
      </c>
      <c r="H62" s="1020">
        <f>MOD(M63,20/72)</f>
        <v>0.25898614141714815</v>
      </c>
      <c r="I62" s="368"/>
      <c r="K62" s="981" t="s">
        <v>285</v>
      </c>
      <c r="L62" s="992">
        <f>L60+L61</f>
        <v>209.50846581706224</v>
      </c>
      <c r="M62" s="992">
        <f>M60+M61</f>
        <v>220.67043924121953</v>
      </c>
      <c r="O62" s="212"/>
      <c r="P62" s="213"/>
      <c r="Q62" s="225"/>
      <c r="R62" s="226"/>
      <c r="S62" s="212"/>
      <c r="T62" s="213"/>
      <c r="U62" s="225"/>
      <c r="V62" s="226"/>
      <c r="W62" s="212"/>
      <c r="X62" s="213"/>
      <c r="Y62" s="225"/>
      <c r="Z62" s="226"/>
    </row>
    <row r="63" spans="8:8" ht="15.0" customHeight="1">
      <c r="C63" s="998" t="s">
        <v>192</v>
      </c>
      <c r="D63" s="1003">
        <f>D62/4</f>
        <v>6.7632514364687255</v>
      </c>
      <c r="E63" s="1004">
        <f>E62/4</f>
        <v>6.818251436468725</v>
      </c>
      <c r="G63" s="366">
        <f>G62/(20/72)</f>
        <v>0.5977548542374144</v>
      </c>
      <c r="H63" s="1020">
        <f>H62/(20/72)</f>
        <v>0.9323501091017333</v>
      </c>
      <c r="I63" s="368"/>
      <c r="K63" s="985" t="s">
        <v>252</v>
      </c>
      <c r="L63" s="1002">
        <f>L62*100/246</f>
        <v>85.16604301506595</v>
      </c>
      <c r="M63" s="1002">
        <f>M62*100/246</f>
        <v>89.7034305858616</v>
      </c>
      <c r="O63" s="1013"/>
      <c r="P63" s="1014"/>
      <c r="Q63" s="1015"/>
      <c r="R63" s="1016"/>
      <c r="S63" s="1013"/>
      <c r="T63" s="1014"/>
      <c r="U63" s="1015"/>
      <c r="V63" s="1016"/>
      <c r="W63" s="1013"/>
      <c r="X63" s="1014"/>
      <c r="Y63" s="1015"/>
      <c r="Z63" s="1016"/>
    </row>
    <row r="64" spans="8:8" ht="15.0" customHeight="1">
      <c r="C64" s="1005" t="s">
        <v>276</v>
      </c>
      <c r="D64" s="1006">
        <f>L64</f>
        <v>209.78333333335067</v>
      </c>
      <c r="E64" s="1007">
        <f>M64</f>
        <v>220.71666666667866</v>
      </c>
      <c r="G64" s="366">
        <f>IF(G63&lt;0.288,ROUNDDOWN(G63,0),ROUNDUP(G63,0))</f>
        <v>1.0</v>
      </c>
      <c r="H64" s="1020">
        <f>IF(H63&lt;0.288,ROUNDDOWN(H63,0),ROUNDUP(H63,0))</f>
        <v>1.0</v>
      </c>
      <c r="I64" s="368"/>
      <c r="K64" s="981" t="s">
        <v>24</v>
      </c>
      <c r="L64" s="1008">
        <f>IF(G64=0,INDEX(Caliper!$K$183:$K$363,(ROUNDDOWN(((L63-50)/(20/72)+1),0)),1),INDEX(Caliper!$K$183:$K$363,(ROUNDUP(((L63-50)/(20/72))+1,0)),1))</f>
        <v>209.78333333335067</v>
      </c>
      <c r="M64" s="1008">
        <f>IF(H64=0,INDEX(Caliper!$K$183:$K$363,(ROUNDDOWN(((M63-50)/(20/72)+1),0)),1),INDEX(Caliper!$K$183:$K$363,(ROUNDUP(((M63-50)/(20/72))+1,0)),1))</f>
        <v>220.71666666667866</v>
      </c>
      <c r="O64" s="247">
        <f>VLOOKUP($T$39,O56:P63,2)</f>
        <v>0.0</v>
      </c>
      <c r="P64" s="248"/>
      <c r="Q64" s="249">
        <f>VLOOKUP($T$39,Q56:R63,2)</f>
        <v>0.0</v>
      </c>
      <c r="R64" s="250"/>
      <c r="S64" s="247">
        <f>VLOOKUP($T$39,S56:T63,2)</f>
        <v>0.0</v>
      </c>
      <c r="T64" s="248"/>
      <c r="U64" s="249">
        <f>VLOOKUP($T$39,U56:V63,2)</f>
        <v>0.0</v>
      </c>
      <c r="V64" s="250"/>
      <c r="W64" s="247" t="str">
        <f>VLOOKUP($T$39,W56:X63,2)</f>
        <v>213.2 / 10</v>
      </c>
      <c r="X64" s="248"/>
      <c r="Y64" s="249">
        <f>VLOOKUP($T$39,Y56:Z63,2)</f>
        <v>0.0</v>
      </c>
      <c r="Z64" s="250"/>
    </row>
    <row r="65" spans="8:8" ht="15.0" customHeight="1">
      <c r="C65" s="998" t="s">
        <v>19</v>
      </c>
      <c r="D65" s="1021">
        <f>H65</f>
        <v>10.0</v>
      </c>
      <c r="E65" s="1021">
        <f>I65</f>
        <v>11.0</v>
      </c>
      <c r="G65" s="444" t="s">
        <v>19</v>
      </c>
      <c r="H65" s="352">
        <f>IF(G62&lt;0.08,11,H66)</f>
        <v>10.0</v>
      </c>
      <c r="I65" s="354">
        <f>IF(H62&lt;0.08,11,I66)</f>
        <v>11.0</v>
      </c>
    </row>
    <row r="66" spans="8:8" ht="15.0" customHeight="1">
      <c r="G66" s="388"/>
      <c r="H66" s="388">
        <f>IF(G62&gt;(20/72)-0.08,11,10)</f>
        <v>10.0</v>
      </c>
      <c r="I66" s="402">
        <f>IF(H62&gt;(20/72)-0.08,11,10)</f>
        <v>11.0</v>
      </c>
    </row>
  </sheetData>
  <mergeCells count="29">
    <mergeCell ref="B28:D29"/>
    <mergeCell ref="U64:V64"/>
    <mergeCell ref="W54:Z54"/>
    <mergeCell ref="Y64:Z64"/>
    <mergeCell ref="O64:P64"/>
    <mergeCell ref="Q64:R64"/>
    <mergeCell ref="W64:X64"/>
    <mergeCell ref="S64:T64"/>
    <mergeCell ref="B2:D3"/>
    <mergeCell ref="U25:V25"/>
    <mergeCell ref="W15:Z15"/>
    <mergeCell ref="O15:R15"/>
    <mergeCell ref="Y25:Z25"/>
    <mergeCell ref="B15:D16"/>
    <mergeCell ref="Q38:R38"/>
    <mergeCell ref="W25:X25"/>
    <mergeCell ref="S25:T25"/>
    <mergeCell ref="Q25:R25"/>
    <mergeCell ref="O38:P38"/>
    <mergeCell ref="O28:R28"/>
    <mergeCell ref="O41:R41"/>
    <mergeCell ref="S54:V54"/>
    <mergeCell ref="O25:P25"/>
    <mergeCell ref="B41:D42"/>
    <mergeCell ref="S15:V15"/>
    <mergeCell ref="O51:P51"/>
    <mergeCell ref="Q51:R51"/>
    <mergeCell ref="O54:R54"/>
    <mergeCell ref="B54:D55"/>
  </mergeCells>
  <pageMargins left="0.7" right="0.7" top="0.75" bottom="0.75" header="0.3" footer="0.3"/>
</worksheet>
</file>

<file path=xl/worksheets/sheet9.xml><?xml version="1.0" encoding="utf-8"?>
<worksheet xmlns:r="http://schemas.openxmlformats.org/officeDocument/2006/relationships" xmlns="http://schemas.openxmlformats.org/spreadsheetml/2006/main">
  <dimension ref="A1:BB365"/>
  <sheetViews>
    <sheetView workbookViewId="0" topLeftCell="A319" showGridLines="0" zoomScale="70">
      <selection activeCell="F324" sqref="F324"/>
    </sheetView>
  </sheetViews>
  <sheetFormatPr defaultRowHeight="15.75" customHeight="1" defaultColWidth="10"/>
  <cols>
    <col min="1" max="3" customWidth="0" width="9.140625" style="1022"/>
    <col min="4" max="4" customWidth="1" width="11.0" style="1022"/>
    <col min="5" max="16384" customWidth="0" width="9.140625" style="1022"/>
  </cols>
  <sheetData>
    <row r="1" spans="8:8" ht="15.75" customHeight="1">
      <c r="A1" s="1023" t="s">
        <v>30</v>
      </c>
      <c r="B1" s="1024">
        <v>286.0</v>
      </c>
      <c r="D1" s="1025" t="s">
        <v>3</v>
      </c>
      <c r="E1" s="1026" t="s">
        <v>47</v>
      </c>
      <c r="F1" s="1026"/>
      <c r="G1" s="1026"/>
      <c r="H1" s="1027" t="s">
        <v>48</v>
      </c>
      <c r="I1" s="1027"/>
      <c r="J1" s="1027"/>
      <c r="K1" s="1028" t="s">
        <v>49</v>
      </c>
      <c r="L1" s="1028"/>
      <c r="M1" s="1028"/>
      <c r="N1" s="1029" t="s">
        <v>50</v>
      </c>
      <c r="O1" s="1029"/>
      <c r="P1" s="1029"/>
      <c r="Q1" s="1030" t="s">
        <v>51</v>
      </c>
      <c r="R1" s="1030"/>
      <c r="S1" s="1030"/>
      <c r="T1" s="1031" t="s">
        <v>52</v>
      </c>
      <c r="U1" s="1031"/>
      <c r="V1" s="1031"/>
      <c r="W1" s="1032" t="s">
        <v>53</v>
      </c>
      <c r="X1" s="1032"/>
      <c r="Y1" s="1032"/>
      <c r="Z1" s="1033" t="s">
        <v>54</v>
      </c>
      <c r="AA1" s="1033"/>
      <c r="AB1" s="1033"/>
      <c r="AC1" s="1034" t="s">
        <v>55</v>
      </c>
      <c r="AD1" s="1034"/>
      <c r="AE1" s="1034"/>
      <c r="AF1" s="1035" t="s">
        <v>56</v>
      </c>
      <c r="AG1" s="1035"/>
      <c r="AH1" s="1035"/>
      <c r="AI1" s="1036" t="s">
        <v>57</v>
      </c>
      <c r="AJ1" s="1036"/>
      <c r="AK1" s="1036"/>
    </row>
    <row r="2" spans="8:8" ht="15.75" customHeight="1">
      <c r="A2" s="1023" t="s">
        <v>84</v>
      </c>
      <c r="B2" s="1024">
        <f>Calculadora!B10-140</f>
        <v>0.0</v>
      </c>
      <c r="D2" s="1037"/>
      <c r="E2" s="1038" t="s">
        <v>119</v>
      </c>
      <c r="F2" s="1038" t="s">
        <v>58</v>
      </c>
      <c r="G2" s="1038" t="s">
        <v>59</v>
      </c>
      <c r="H2" s="1039" t="s">
        <v>119</v>
      </c>
      <c r="I2" s="1039" t="s">
        <v>58</v>
      </c>
      <c r="J2" s="1039" t="s">
        <v>59</v>
      </c>
      <c r="K2" s="1040" t="s">
        <v>119</v>
      </c>
      <c r="L2" s="1040" t="s">
        <v>58</v>
      </c>
      <c r="M2" s="1040" t="s">
        <v>59</v>
      </c>
      <c r="N2" s="1041" t="s">
        <v>119</v>
      </c>
      <c r="O2" s="1041" t="s">
        <v>58</v>
      </c>
      <c r="P2" s="1041" t="s">
        <v>59</v>
      </c>
      <c r="Q2" s="1042" t="s">
        <v>119</v>
      </c>
      <c r="R2" s="1042" t="s">
        <v>58</v>
      </c>
      <c r="S2" s="1042" t="s">
        <v>59</v>
      </c>
      <c r="T2" s="1043" t="s">
        <v>119</v>
      </c>
      <c r="U2" s="1043" t="s">
        <v>58</v>
      </c>
      <c r="V2" s="1043" t="s">
        <v>59</v>
      </c>
      <c r="W2" s="1044" t="s">
        <v>119</v>
      </c>
      <c r="X2" s="1044" t="s">
        <v>58</v>
      </c>
      <c r="Y2" s="1044" t="s">
        <v>59</v>
      </c>
      <c r="Z2" s="1045" t="s">
        <v>119</v>
      </c>
      <c r="AA2" s="1045" t="s">
        <v>58</v>
      </c>
      <c r="AB2" s="1045" t="s">
        <v>59</v>
      </c>
      <c r="AC2" s="1046" t="s">
        <v>119</v>
      </c>
      <c r="AD2" s="1046" t="s">
        <v>58</v>
      </c>
      <c r="AE2" s="1046" t="s">
        <v>59</v>
      </c>
      <c r="AF2" s="1047" t="s">
        <v>119</v>
      </c>
      <c r="AG2" s="1047" t="s">
        <v>58</v>
      </c>
      <c r="AH2" s="1047" t="s">
        <v>59</v>
      </c>
      <c r="AI2" s="1048" t="s">
        <v>119</v>
      </c>
      <c r="AJ2" s="1048" t="s">
        <v>58</v>
      </c>
      <c r="AK2" s="1048" t="s">
        <v>59</v>
      </c>
    </row>
    <row r="3" spans="8:8" ht="15.75" customHeight="1">
      <c r="A3" s="1023" t="s">
        <v>27</v>
      </c>
      <c r="B3" s="1024">
        <v>6.0</v>
      </c>
      <c r="D3" s="1049">
        <v>0.0</v>
      </c>
      <c r="E3" s="1050">
        <f t="shared" si="0" ref="E3:E66">E$363*D3</f>
        <v>0.0</v>
      </c>
      <c r="F3" s="1050">
        <f t="shared" si="1" ref="F3:G66">F$363*$D3</f>
        <v>0.0</v>
      </c>
      <c r="G3" s="1050">
        <f t="shared" si="1"/>
        <v>0.0</v>
      </c>
      <c r="H3" s="1051">
        <f t="shared" si="2" ref="H3:T18">H4-(H$363/360)</f>
        <v>-2.625799577771204E-11</v>
      </c>
      <c r="I3" s="1051">
        <f>I4-(I$363/360)</f>
        <v>8.120404348943566E-11</v>
      </c>
      <c r="J3" s="1051">
        <f t="shared" si="2"/>
        <v>2.7468027852250998E-11</v>
      </c>
      <c r="K3" s="1052">
        <f t="shared" si="2"/>
        <v>7.544398439307543E-11</v>
      </c>
      <c r="L3" s="1052">
        <f t="shared" si="2"/>
        <v>-5.2115978199651636E-11</v>
      </c>
      <c r="M3" s="1052">
        <f t="shared" si="2"/>
        <v>-9.393197331064584E-11</v>
      </c>
      <c r="N3" s="1053">
        <f t="shared" si="2"/>
        <v>0.0</v>
      </c>
      <c r="O3" s="1053">
        <f t="shared" si="2"/>
        <v>8.563205700085064E-11</v>
      </c>
      <c r="P3" s="1053">
        <f t="shared" si="2"/>
        <v>4.463607261584457E-11</v>
      </c>
      <c r="Q3" s="1054">
        <f t="shared" si="2"/>
        <v>3.715400209713948E-11</v>
      </c>
      <c r="R3" s="1054">
        <f t="shared" si="2"/>
        <v>-6.119404982740662E-11</v>
      </c>
      <c r="S3" s="1054">
        <f t="shared" si="2"/>
        <v>8.563205700085064E-11</v>
      </c>
      <c r="T3" s="1055">
        <f t="shared" si="2"/>
        <v>6.906802907380438E-11</v>
      </c>
      <c r="U3" s="1055">
        <f t="shared" si="3" ref="U3:AJ18">U4-(U$363/360)</f>
        <v>-1.9286960917241913E-11</v>
      </c>
      <c r="V3" s="1055">
        <f t="shared" si="3"/>
        <v>-6.119404982740662E-11</v>
      </c>
      <c r="W3" s="1056">
        <f t="shared" si="3"/>
        <v>-4.6941006637268856E-11</v>
      </c>
      <c r="X3" s="1056">
        <f t="shared" si="3"/>
        <v>1.8076984353854186E-11</v>
      </c>
      <c r="Y3" s="1056">
        <f t="shared" si="3"/>
        <v>-1.9286960917241913E-11</v>
      </c>
      <c r="Z3" s="1057">
        <f t="shared" si="3"/>
        <v>-1.3937018206178209E-11</v>
      </c>
      <c r="AA3" s="1057">
        <f t="shared" si="3"/>
        <v>4.99709718049246E-11</v>
      </c>
      <c r="AB3" s="1057">
        <f t="shared" si="3"/>
        <v>1.8076984353854186E-11</v>
      </c>
      <c r="AC3" s="1058">
        <f t="shared" si="3"/>
        <v>1.2016998507391463E-11</v>
      </c>
      <c r="AD3" s="1058">
        <f t="shared" si="3"/>
        <v>-5.388800516925585E-11</v>
      </c>
      <c r="AE3" s="1058">
        <f t="shared" si="3"/>
        <v>4.99709718049246E-11</v>
      </c>
      <c r="AF3" s="1059">
        <f t="shared" si="3"/>
        <v>2.9091007380799283E-11</v>
      </c>
      <c r="AG3" s="1059">
        <f t="shared" si="3"/>
        <v>-2.645400565270961E-11</v>
      </c>
      <c r="AH3" s="1059">
        <f t="shared" si="3"/>
        <v>-5.388800516925585E-11</v>
      </c>
      <c r="AI3" s="1060">
        <f t="shared" si="3"/>
        <v>-2.1904034142039563E-11</v>
      </c>
      <c r="AJ3" s="1060">
        <f t="shared" si="3"/>
        <v>0.0</v>
      </c>
      <c r="AK3" s="1060">
        <f t="shared" si="4" ref="AE3:AK39">AK4-(AK$363/360)</f>
        <v>-2.645400565270961E-11</v>
      </c>
    </row>
    <row r="4" spans="8:8" ht="15.75" customHeight="1">
      <c r="D4" s="1049">
        <f>D3+0.2/72</f>
        <v>0.00277777777777778</v>
      </c>
      <c r="E4" s="1050">
        <f t="shared" si="0"/>
        <v>0.7944444444444451</v>
      </c>
      <c r="F4" s="1050">
        <f t="shared" si="1"/>
        <v>0.8388888888888896</v>
      </c>
      <c r="G4" s="1050">
        <f t="shared" si="1"/>
        <v>0.8666666666666674</v>
      </c>
      <c r="H4" s="1051">
        <f t="shared" si="2"/>
        <v>0.7388888888626309</v>
      </c>
      <c r="I4" s="1051">
        <f t="shared" si="2"/>
        <v>0.7833333334145369</v>
      </c>
      <c r="J4" s="1051">
        <f t="shared" si="2"/>
        <v>0.811111111138579</v>
      </c>
      <c r="K4" s="1052">
        <f t="shared" si="2"/>
        <v>0.6833333334087769</v>
      </c>
      <c r="L4" s="1052">
        <f t="shared" si="2"/>
        <v>0.7277777777256621</v>
      </c>
      <c r="M4" s="1052">
        <f t="shared" si="2"/>
        <v>0.755555555461624</v>
      </c>
      <c r="N4" s="1053">
        <f t="shared" si="2"/>
        <v>0.5</v>
      </c>
      <c r="O4" s="1053">
        <f t="shared" si="2"/>
        <v>0.5444444445300761</v>
      </c>
      <c r="P4" s="1053">
        <f t="shared" si="2"/>
        <v>0.572222222266858</v>
      </c>
      <c r="Q4" s="1054">
        <f t="shared" si="2"/>
        <v>0.47222222225937605</v>
      </c>
      <c r="R4" s="1054">
        <f t="shared" si="2"/>
        <v>0.5166666666054729</v>
      </c>
      <c r="S4" s="1054">
        <f t="shared" si="2"/>
        <v>0.5444444445300761</v>
      </c>
      <c r="T4" s="1055">
        <f t="shared" si="2"/>
        <v>0.44444444451351206</v>
      </c>
      <c r="U4" s="1055">
        <f t="shared" si="3"/>
        <v>0.48888888886960197</v>
      </c>
      <c r="V4" s="1055">
        <f t="shared" si="3"/>
        <v>0.5166666666054729</v>
      </c>
      <c r="W4" s="1056">
        <f t="shared" si="3"/>
        <v>0.416666666619726</v>
      </c>
      <c r="X4" s="1056">
        <f t="shared" si="3"/>
        <v>0.461111111129188</v>
      </c>
      <c r="Y4" s="1056">
        <f t="shared" si="3"/>
        <v>0.48888888886960197</v>
      </c>
      <c r="Z4" s="1057">
        <f t="shared" si="3"/>
        <v>0.38888888887495204</v>
      </c>
      <c r="AA4" s="1057">
        <f t="shared" si="3"/>
        <v>0.43333333338330393</v>
      </c>
      <c r="AB4" s="1057">
        <f t="shared" si="3"/>
        <v>0.461111111129188</v>
      </c>
      <c r="AC4" s="1058">
        <f t="shared" si="3"/>
        <v>0.36111111112312805</v>
      </c>
      <c r="AD4" s="1058">
        <f t="shared" si="3"/>
        <v>0.405555555501668</v>
      </c>
      <c r="AE4" s="1058">
        <f t="shared" si="4"/>
        <v>0.43333333338330393</v>
      </c>
      <c r="AF4" s="1059">
        <f t="shared" si="4"/>
        <v>0.33333333336242404</v>
      </c>
      <c r="AG4" s="1059">
        <f t="shared" si="4"/>
        <v>0.37777777775132404</v>
      </c>
      <c r="AH4" s="1059">
        <f t="shared" si="4"/>
        <v>0.405555555501668</v>
      </c>
      <c r="AI4" s="1060">
        <f t="shared" si="4"/>
        <v>0.305555555533652</v>
      </c>
      <c r="AJ4" s="1060">
        <f t="shared" si="4"/>
        <v>0.35</v>
      </c>
      <c r="AK4" s="1060">
        <f t="shared" si="4"/>
        <v>0.37777777775132404</v>
      </c>
    </row>
    <row r="5" spans="8:8" ht="15.75" customHeight="1">
      <c r="D5" s="1049">
        <f t="shared" si="5" ref="D5:D68">D4+0.2/72</f>
        <v>0.00555555555555556</v>
      </c>
      <c r="E5" s="1050">
        <f t="shared" si="0"/>
        <v>1.5888888888888901</v>
      </c>
      <c r="F5" s="1050">
        <f t="shared" si="1"/>
        <v>1.6777777777777791</v>
      </c>
      <c r="G5" s="1050">
        <f t="shared" si="1"/>
        <v>1.7333333333333347</v>
      </c>
      <c r="H5" s="1051">
        <f t="shared" si="2"/>
        <v>1.477777777751521</v>
      </c>
      <c r="I5" s="1051">
        <f t="shared" si="2"/>
        <v>1.566666666747867</v>
      </c>
      <c r="J5" s="1051">
        <f t="shared" si="2"/>
        <v>1.6222222222496891</v>
      </c>
      <c r="K5" s="1052">
        <f t="shared" si="2"/>
        <v>1.3666666667421068</v>
      </c>
      <c r="L5" s="1052">
        <f t="shared" si="2"/>
        <v>1.4555555555034423</v>
      </c>
      <c r="M5" s="1052">
        <f t="shared" si="2"/>
        <v>1.511111111017184</v>
      </c>
      <c r="N5" s="1053">
        <f t="shared" si="2"/>
        <v>1.0</v>
      </c>
      <c r="O5" s="1053">
        <f t="shared" si="2"/>
        <v>1.088888888974516</v>
      </c>
      <c r="P5" s="1053">
        <f t="shared" si="2"/>
        <v>1.144444444489078</v>
      </c>
      <c r="Q5" s="1054">
        <f t="shared" si="2"/>
        <v>0.9444444444815979</v>
      </c>
      <c r="R5" s="1054">
        <f t="shared" si="2"/>
        <v>1.033333333272143</v>
      </c>
      <c r="S5" s="1054">
        <f t="shared" si="2"/>
        <v>1.088888888974516</v>
      </c>
      <c r="T5" s="1055">
        <f t="shared" si="2"/>
        <v>0.888888888957956</v>
      </c>
      <c r="U5" s="1055">
        <f t="shared" si="3"/>
        <v>0.9777777777584911</v>
      </c>
      <c r="V5" s="1055">
        <f t="shared" si="3"/>
        <v>1.033333333272143</v>
      </c>
      <c r="W5" s="1056">
        <f t="shared" si="3"/>
        <v>0.833333333286393</v>
      </c>
      <c r="X5" s="1056">
        <f t="shared" si="3"/>
        <v>0.9222222222402989</v>
      </c>
      <c r="Y5" s="1056">
        <f t="shared" si="3"/>
        <v>0.9777777777584911</v>
      </c>
      <c r="Z5" s="1057">
        <f t="shared" si="3"/>
        <v>0.7777777777638408</v>
      </c>
      <c r="AA5" s="1057">
        <f t="shared" si="3"/>
        <v>0.8666666667166371</v>
      </c>
      <c r="AB5" s="1057">
        <f t="shared" si="3"/>
        <v>0.9222222222402989</v>
      </c>
      <c r="AC5" s="1058">
        <f t="shared" si="3"/>
        <v>0.7222222222342392</v>
      </c>
      <c r="AD5" s="1058">
        <f t="shared" si="3"/>
        <v>0.8111111110572239</v>
      </c>
      <c r="AE5" s="1058">
        <f t="shared" si="4"/>
        <v>0.8666666667166371</v>
      </c>
      <c r="AF5" s="1059">
        <f t="shared" si="4"/>
        <v>0.666666666695757</v>
      </c>
      <c r="AG5" s="1059">
        <f t="shared" si="4"/>
        <v>0.755555555529102</v>
      </c>
      <c r="AH5" s="1059">
        <f t="shared" si="4"/>
        <v>0.8111111110572239</v>
      </c>
      <c r="AI5" s="1060">
        <f t="shared" si="4"/>
        <v>0.611111111089208</v>
      </c>
      <c r="AJ5" s="1060">
        <f t="shared" si="4"/>
        <v>0.7000000000000001</v>
      </c>
      <c r="AK5" s="1060">
        <f t="shared" si="4"/>
        <v>0.755555555529102</v>
      </c>
    </row>
    <row r="6" spans="8:8" ht="15.75" customHeight="1">
      <c r="A6" s="1061"/>
      <c r="B6" s="1061"/>
      <c r="D6" s="1049">
        <f t="shared" si="5"/>
        <v>0.00833333333333334</v>
      </c>
      <c r="E6" s="1050">
        <f t="shared" si="0"/>
        <v>2.383333333333335</v>
      </c>
      <c r="F6" s="1050">
        <f t="shared" si="1"/>
        <v>2.516666666666669</v>
      </c>
      <c r="G6" s="1050">
        <f t="shared" si="1"/>
        <v>2.6000000000000023</v>
      </c>
      <c r="H6" s="1051">
        <f t="shared" si="2"/>
        <v>2.216666666640411</v>
      </c>
      <c r="I6" s="1051">
        <f t="shared" si="2"/>
        <v>2.350000000081197</v>
      </c>
      <c r="J6" s="1051">
        <f t="shared" si="2"/>
        <v>2.433333333360799</v>
      </c>
      <c r="K6" s="1052">
        <f t="shared" si="2"/>
        <v>2.050000000075437</v>
      </c>
      <c r="L6" s="1052">
        <f t="shared" si="2"/>
        <v>2.183333333281222</v>
      </c>
      <c r="M6" s="1052">
        <f t="shared" si="2"/>
        <v>2.266666666572744</v>
      </c>
      <c r="N6" s="1053">
        <f t="shared" si="2"/>
        <v>1.5</v>
      </c>
      <c r="O6" s="1053">
        <f t="shared" si="2"/>
        <v>1.6333333334189564</v>
      </c>
      <c r="P6" s="1053">
        <f t="shared" si="2"/>
        <v>1.7166666667112982</v>
      </c>
      <c r="Q6" s="1054">
        <f t="shared" si="2"/>
        <v>1.4166666667038181</v>
      </c>
      <c r="R6" s="1054">
        <f t="shared" si="2"/>
        <v>1.5499999999388128</v>
      </c>
      <c r="S6" s="1054">
        <f t="shared" si="2"/>
        <v>1.6333333334189564</v>
      </c>
      <c r="T6" s="1055">
        <f t="shared" si="2"/>
        <v>1.333333333402396</v>
      </c>
      <c r="U6" s="1055">
        <f t="shared" si="3"/>
        <v>1.466666666647381</v>
      </c>
      <c r="V6" s="1055">
        <f t="shared" si="3"/>
        <v>1.5499999999388128</v>
      </c>
      <c r="W6" s="1056">
        <f t="shared" si="3"/>
        <v>1.249999999953063</v>
      </c>
      <c r="X6" s="1056">
        <f t="shared" si="3"/>
        <v>1.383333333351409</v>
      </c>
      <c r="Y6" s="1056">
        <f t="shared" si="3"/>
        <v>1.466666666647381</v>
      </c>
      <c r="Z6" s="1057">
        <f t="shared" si="3"/>
        <v>1.166666666652731</v>
      </c>
      <c r="AA6" s="1057">
        <f t="shared" si="3"/>
        <v>1.300000000049967</v>
      </c>
      <c r="AB6" s="1057">
        <f t="shared" si="3"/>
        <v>1.383333333351409</v>
      </c>
      <c r="AC6" s="1058">
        <f t="shared" si="3"/>
        <v>1.083333333345349</v>
      </c>
      <c r="AD6" s="1058">
        <f t="shared" si="3"/>
        <v>1.216666666612784</v>
      </c>
      <c r="AE6" s="1058">
        <f t="shared" si="4"/>
        <v>1.300000000049967</v>
      </c>
      <c r="AF6" s="1059">
        <f t="shared" si="4"/>
        <v>1.000000000029087</v>
      </c>
      <c r="AG6" s="1059">
        <f t="shared" si="4"/>
        <v>1.133333333306882</v>
      </c>
      <c r="AH6" s="1059">
        <f t="shared" si="4"/>
        <v>1.216666666612784</v>
      </c>
      <c r="AI6" s="1060">
        <f t="shared" si="4"/>
        <v>0.916666666644764</v>
      </c>
      <c r="AJ6" s="1060">
        <f t="shared" si="4"/>
        <v>1.0499999999999998</v>
      </c>
      <c r="AK6" s="1060">
        <f t="shared" si="4"/>
        <v>1.133333333306882</v>
      </c>
    </row>
    <row r="7" spans="8:8" ht="15.75" customHeight="1">
      <c r="D7" s="1049">
        <f t="shared" si="5"/>
        <v>0.01111111111111112</v>
      </c>
      <c r="E7" s="1050">
        <f t="shared" si="0"/>
        <v>3.1777777777777803</v>
      </c>
      <c r="F7" s="1050">
        <f t="shared" si="1"/>
        <v>3.3555555555555583</v>
      </c>
      <c r="G7" s="1050">
        <f t="shared" si="1"/>
        <v>3.4666666666666694</v>
      </c>
      <c r="H7" s="1051">
        <f t="shared" si="2"/>
        <v>2.955555555529301</v>
      </c>
      <c r="I7" s="1051">
        <f t="shared" si="2"/>
        <v>3.1333333334145266</v>
      </c>
      <c r="J7" s="1051">
        <f t="shared" si="2"/>
        <v>3.2444444444719087</v>
      </c>
      <c r="K7" s="1052">
        <f t="shared" si="2"/>
        <v>2.733333333408767</v>
      </c>
      <c r="L7" s="1052">
        <f t="shared" si="2"/>
        <v>2.911111111059002</v>
      </c>
      <c r="M7" s="1052">
        <f t="shared" si="2"/>
        <v>3.022222222128304</v>
      </c>
      <c r="N7" s="1053">
        <f t="shared" si="2"/>
        <v>2.0</v>
      </c>
      <c r="O7" s="1053">
        <f t="shared" si="2"/>
        <v>2.177777777863396</v>
      </c>
      <c r="P7" s="1053">
        <f t="shared" si="2"/>
        <v>2.288888888933518</v>
      </c>
      <c r="Q7" s="1054">
        <f t="shared" si="2"/>
        <v>1.8888888889260382</v>
      </c>
      <c r="R7" s="1054">
        <f t="shared" si="2"/>
        <v>2.066666666605483</v>
      </c>
      <c r="S7" s="1054">
        <f t="shared" si="2"/>
        <v>2.177777777863396</v>
      </c>
      <c r="T7" s="1055">
        <f t="shared" si="2"/>
        <v>1.777777777846836</v>
      </c>
      <c r="U7" s="1055">
        <f t="shared" si="3"/>
        <v>1.9555555555362711</v>
      </c>
      <c r="V7" s="1055">
        <f t="shared" si="3"/>
        <v>2.066666666605483</v>
      </c>
      <c r="W7" s="1056">
        <f t="shared" si="3"/>
        <v>1.666666666619733</v>
      </c>
      <c r="X7" s="1056">
        <f t="shared" si="3"/>
        <v>1.8444444444625188</v>
      </c>
      <c r="Y7" s="1056">
        <f t="shared" si="3"/>
        <v>1.9555555555362711</v>
      </c>
      <c r="Z7" s="1057">
        <f t="shared" si="3"/>
        <v>1.555555555541621</v>
      </c>
      <c r="AA7" s="1057">
        <f t="shared" si="3"/>
        <v>1.733333333383297</v>
      </c>
      <c r="AB7" s="1057">
        <f t="shared" si="3"/>
        <v>1.8444444444625188</v>
      </c>
      <c r="AC7" s="1058">
        <f t="shared" si="3"/>
        <v>1.444444444456459</v>
      </c>
      <c r="AD7" s="1058">
        <f t="shared" si="3"/>
        <v>1.622222222168344</v>
      </c>
      <c r="AE7" s="1058">
        <f t="shared" si="4"/>
        <v>1.733333333383297</v>
      </c>
      <c r="AF7" s="1059">
        <f t="shared" si="4"/>
        <v>1.3333333333624169</v>
      </c>
      <c r="AG7" s="1059">
        <f t="shared" si="4"/>
        <v>1.511111111084662</v>
      </c>
      <c r="AH7" s="1059">
        <f t="shared" si="4"/>
        <v>1.622222222168344</v>
      </c>
      <c r="AI7" s="1060">
        <f t="shared" si="4"/>
        <v>1.222222222200324</v>
      </c>
      <c r="AJ7" s="1060">
        <f t="shared" si="4"/>
        <v>1.4</v>
      </c>
      <c r="AK7" s="1060">
        <f t="shared" si="4"/>
        <v>1.511111111084662</v>
      </c>
    </row>
    <row r="8" spans="8:8" ht="15.75" customHeight="1">
      <c r="D8" s="1049">
        <f t="shared" si="5"/>
        <v>0.01388888888888888</v>
      </c>
      <c r="E8" s="1050">
        <f t="shared" si="0"/>
        <v>3.9722222222222197</v>
      </c>
      <c r="F8" s="1050">
        <f t="shared" si="1"/>
        <v>4.194444444444442</v>
      </c>
      <c r="G8" s="1050">
        <f t="shared" si="1"/>
        <v>4.33333333333333</v>
      </c>
      <c r="H8" s="1051">
        <f t="shared" si="2"/>
        <v>3.694444444418191</v>
      </c>
      <c r="I8" s="1051">
        <f t="shared" si="2"/>
        <v>3.916666666747857</v>
      </c>
      <c r="J8" s="1051">
        <f t="shared" si="2"/>
        <v>4.055555555583019</v>
      </c>
      <c r="K8" s="1052">
        <f t="shared" si="2"/>
        <v>3.416666666742097</v>
      </c>
      <c r="L8" s="1052">
        <f t="shared" si="2"/>
        <v>3.6388888888367825</v>
      </c>
      <c r="M8" s="1052">
        <f t="shared" si="2"/>
        <v>3.777777777683864</v>
      </c>
      <c r="N8" s="1053">
        <f t="shared" si="2"/>
        <v>2.5</v>
      </c>
      <c r="O8" s="1053">
        <f t="shared" si="2"/>
        <v>2.722222222307836</v>
      </c>
      <c r="P8" s="1053">
        <f t="shared" si="2"/>
        <v>2.861111111155738</v>
      </c>
      <c r="Q8" s="1054">
        <f t="shared" si="2"/>
        <v>2.3611111111482583</v>
      </c>
      <c r="R8" s="1054">
        <f t="shared" si="2"/>
        <v>2.583333333272153</v>
      </c>
      <c r="S8" s="1054">
        <f t="shared" si="2"/>
        <v>2.722222222307836</v>
      </c>
      <c r="T8" s="1055">
        <f t="shared" si="2"/>
        <v>2.2222222222912764</v>
      </c>
      <c r="U8" s="1055">
        <f t="shared" si="3"/>
        <v>2.444444444425161</v>
      </c>
      <c r="V8" s="1055">
        <f t="shared" si="3"/>
        <v>2.583333333272153</v>
      </c>
      <c r="W8" s="1056">
        <f t="shared" si="3"/>
        <v>2.083333333286403</v>
      </c>
      <c r="X8" s="1056">
        <f t="shared" si="3"/>
        <v>2.305555555573629</v>
      </c>
      <c r="Y8" s="1056">
        <f t="shared" si="3"/>
        <v>2.444444444425161</v>
      </c>
      <c r="Z8" s="1057">
        <f t="shared" si="3"/>
        <v>1.9444444444305111</v>
      </c>
      <c r="AA8" s="1057">
        <f t="shared" si="3"/>
        <v>2.166666666716627</v>
      </c>
      <c r="AB8" s="1057">
        <f t="shared" si="3"/>
        <v>2.305555555573629</v>
      </c>
      <c r="AC8" s="1058">
        <f t="shared" si="3"/>
        <v>1.805555555567569</v>
      </c>
      <c r="AD8" s="1058">
        <f t="shared" si="3"/>
        <v>2.0277777777239043</v>
      </c>
      <c r="AE8" s="1058">
        <f t="shared" si="4"/>
        <v>2.166666666716627</v>
      </c>
      <c r="AF8" s="1059">
        <f t="shared" si="4"/>
        <v>1.6666666666957468</v>
      </c>
      <c r="AG8" s="1059">
        <f t="shared" si="4"/>
        <v>1.8888888888624422</v>
      </c>
      <c r="AH8" s="1059">
        <f t="shared" si="4"/>
        <v>2.0277777777239043</v>
      </c>
      <c r="AI8" s="1060">
        <f t="shared" si="4"/>
        <v>1.527777777755884</v>
      </c>
      <c r="AJ8" s="1060">
        <f t="shared" si="4"/>
        <v>1.75</v>
      </c>
      <c r="AK8" s="1060">
        <f t="shared" si="4"/>
        <v>1.8888888888624422</v>
      </c>
    </row>
    <row r="9" spans="8:8" ht="15.75" customHeight="1">
      <c r="D9" s="1049">
        <f t="shared" si="5"/>
        <v>0.01666666666666668</v>
      </c>
      <c r="E9" s="1050">
        <f t="shared" si="0"/>
        <v>4.76666666666667</v>
      </c>
      <c r="F9" s="1050">
        <f t="shared" si="1"/>
        <v>5.033333333333338</v>
      </c>
      <c r="G9" s="1050">
        <f t="shared" si="1"/>
        <v>5.200000000000005</v>
      </c>
      <c r="H9" s="1051">
        <f t="shared" si="2"/>
        <v>4.433333333307081</v>
      </c>
      <c r="I9" s="1051">
        <f t="shared" si="2"/>
        <v>4.700000000081187</v>
      </c>
      <c r="J9" s="1051">
        <f t="shared" si="2"/>
        <v>4.866666666694129</v>
      </c>
      <c r="K9" s="1052">
        <f t="shared" si="2"/>
        <v>4.100000000075427</v>
      </c>
      <c r="L9" s="1052">
        <f t="shared" si="2"/>
        <v>4.366666666614562</v>
      </c>
      <c r="M9" s="1052">
        <f t="shared" si="2"/>
        <v>4.533333333239424</v>
      </c>
      <c r="N9" s="1053">
        <f t="shared" si="2"/>
        <v>3.0</v>
      </c>
      <c r="O9" s="1053">
        <f t="shared" si="2"/>
        <v>3.2666666667522763</v>
      </c>
      <c r="P9" s="1053">
        <f t="shared" si="2"/>
        <v>3.4333333333779583</v>
      </c>
      <c r="Q9" s="1054">
        <f t="shared" si="2"/>
        <v>2.833333333370478</v>
      </c>
      <c r="R9" s="1054">
        <f t="shared" si="2"/>
        <v>3.099999999938823</v>
      </c>
      <c r="S9" s="1054">
        <f t="shared" si="2"/>
        <v>3.2666666667522763</v>
      </c>
      <c r="T9" s="1055">
        <f t="shared" si="2"/>
        <v>2.6666666667357157</v>
      </c>
      <c r="U9" s="1055">
        <f t="shared" si="3"/>
        <v>2.933333333314051</v>
      </c>
      <c r="V9" s="1055">
        <f t="shared" si="3"/>
        <v>3.099999999938823</v>
      </c>
      <c r="W9" s="1056">
        <f t="shared" si="3"/>
        <v>2.499999999953073</v>
      </c>
      <c r="X9" s="1056">
        <f t="shared" si="3"/>
        <v>2.7666666666847393</v>
      </c>
      <c r="Y9" s="1056">
        <f t="shared" si="3"/>
        <v>2.933333333314051</v>
      </c>
      <c r="Z9" s="1057">
        <f t="shared" si="3"/>
        <v>2.333333333319401</v>
      </c>
      <c r="AA9" s="1057">
        <f t="shared" si="3"/>
        <v>2.600000000049957</v>
      </c>
      <c r="AB9" s="1057">
        <f t="shared" si="3"/>
        <v>2.7666666666847393</v>
      </c>
      <c r="AC9" s="1058">
        <f t="shared" si="3"/>
        <v>2.1666666666786787</v>
      </c>
      <c r="AD9" s="1058">
        <f t="shared" si="3"/>
        <v>2.433333333279464</v>
      </c>
      <c r="AE9" s="1058">
        <f t="shared" si="4"/>
        <v>2.600000000049957</v>
      </c>
      <c r="AF9" s="1059">
        <f t="shared" si="4"/>
        <v>2.0000000000290767</v>
      </c>
      <c r="AG9" s="1059">
        <f t="shared" si="4"/>
        <v>2.266666666640222</v>
      </c>
      <c r="AH9" s="1059">
        <f t="shared" si="4"/>
        <v>2.433333333279464</v>
      </c>
      <c r="AI9" s="1060">
        <f t="shared" si="4"/>
        <v>1.833333333311444</v>
      </c>
      <c r="AJ9" s="1060">
        <f t="shared" si="4"/>
        <v>2.1</v>
      </c>
      <c r="AK9" s="1060">
        <f t="shared" si="4"/>
        <v>2.266666666640222</v>
      </c>
    </row>
    <row r="10" spans="8:8" ht="15.75" customHeight="1">
      <c r="D10" s="1049">
        <f t="shared" si="5"/>
        <v>0.01944444444444448</v>
      </c>
      <c r="E10" s="1050">
        <f t="shared" si="0"/>
        <v>5.5611111111111216</v>
      </c>
      <c r="F10" s="1050">
        <f t="shared" si="1"/>
        <v>5.8722222222222324</v>
      </c>
      <c r="G10" s="1050">
        <f t="shared" si="1"/>
        <v>6.066666666666678</v>
      </c>
      <c r="H10" s="1051">
        <f t="shared" si="2"/>
        <v>5.1722222221959715</v>
      </c>
      <c r="I10" s="1051">
        <f t="shared" si="2"/>
        <v>5.4833333334145165</v>
      </c>
      <c r="J10" s="1051">
        <f t="shared" si="2"/>
        <v>5.677777777805239</v>
      </c>
      <c r="K10" s="1052">
        <f t="shared" si="2"/>
        <v>4.783333333408757</v>
      </c>
      <c r="L10" s="1052">
        <f t="shared" si="2"/>
        <v>5.094444444392342</v>
      </c>
      <c r="M10" s="1052">
        <f t="shared" si="2"/>
        <v>5.288888888794984</v>
      </c>
      <c r="N10" s="1053">
        <f t="shared" si="2"/>
        <v>3.5</v>
      </c>
      <c r="O10" s="1053">
        <f t="shared" si="2"/>
        <v>3.8111111111967158</v>
      </c>
      <c r="P10" s="1053">
        <f t="shared" si="2"/>
        <v>4.005555555600178</v>
      </c>
      <c r="Q10" s="1054">
        <f t="shared" si="2"/>
        <v>3.305555555592698</v>
      </c>
      <c r="R10" s="1054">
        <f t="shared" si="2"/>
        <v>3.6166666666054925</v>
      </c>
      <c r="S10" s="1054">
        <f t="shared" si="2"/>
        <v>3.8111111111967158</v>
      </c>
      <c r="T10" s="1055">
        <f t="shared" si="2"/>
        <v>3.111111111180156</v>
      </c>
      <c r="U10" s="1055">
        <f t="shared" si="3"/>
        <v>3.422222222202941</v>
      </c>
      <c r="V10" s="1055">
        <f t="shared" si="3"/>
        <v>3.6166666666054925</v>
      </c>
      <c r="W10" s="1056">
        <f t="shared" si="3"/>
        <v>2.916666666619743</v>
      </c>
      <c r="X10" s="1056">
        <f t="shared" si="3"/>
        <v>3.2277777777958487</v>
      </c>
      <c r="Y10" s="1056">
        <f t="shared" si="3"/>
        <v>3.422222222202941</v>
      </c>
      <c r="Z10" s="1057">
        <f t="shared" si="3"/>
        <v>2.7222222222082912</v>
      </c>
      <c r="AA10" s="1057">
        <f t="shared" si="3"/>
        <v>3.033333333383287</v>
      </c>
      <c r="AB10" s="1057">
        <f t="shared" si="3"/>
        <v>3.2277777777958487</v>
      </c>
      <c r="AC10" s="1058">
        <f t="shared" si="3"/>
        <v>2.527777777789789</v>
      </c>
      <c r="AD10" s="1058">
        <f t="shared" si="3"/>
        <v>2.838888888835024</v>
      </c>
      <c r="AE10" s="1058">
        <f t="shared" si="4"/>
        <v>3.033333333383287</v>
      </c>
      <c r="AF10" s="1059">
        <f t="shared" si="4"/>
        <v>2.333333333362407</v>
      </c>
      <c r="AG10" s="1059">
        <f t="shared" si="4"/>
        <v>2.644444444418002</v>
      </c>
      <c r="AH10" s="1059">
        <f t="shared" si="4"/>
        <v>2.838888888835024</v>
      </c>
      <c r="AI10" s="1060">
        <f t="shared" si="4"/>
        <v>2.1388888888670037</v>
      </c>
      <c r="AJ10" s="1060">
        <f t="shared" si="4"/>
        <v>2.4499999999999997</v>
      </c>
      <c r="AK10" s="1060">
        <f t="shared" si="4"/>
        <v>2.644444444418002</v>
      </c>
    </row>
    <row r="11" spans="8:8" ht="15.75" customHeight="1">
      <c r="D11" s="1049">
        <f t="shared" si="5"/>
        <v>0.022222222222222282</v>
      </c>
      <c r="E11" s="1050">
        <f t="shared" si="0"/>
        <v>6.355555555555573</v>
      </c>
      <c r="F11" s="1050">
        <f t="shared" si="1"/>
        <v>6.711111111111129</v>
      </c>
      <c r="G11" s="1050">
        <f t="shared" si="1"/>
        <v>6.933333333333352</v>
      </c>
      <c r="H11" s="1051">
        <f t="shared" si="2"/>
        <v>5.911111111084861</v>
      </c>
      <c r="I11" s="1051">
        <f t="shared" si="2"/>
        <v>6.266666666747847</v>
      </c>
      <c r="J11" s="1051">
        <f t="shared" si="2"/>
        <v>6.488888888916349</v>
      </c>
      <c r="K11" s="1052">
        <f t="shared" si="2"/>
        <v>5.466666666742087</v>
      </c>
      <c r="L11" s="1052">
        <f t="shared" si="2"/>
        <v>5.822222222170122</v>
      </c>
      <c r="M11" s="1052">
        <f t="shared" si="2"/>
        <v>6.044444444350544</v>
      </c>
      <c r="N11" s="1053">
        <f t="shared" si="2"/>
        <v>4.0</v>
      </c>
      <c r="O11" s="1053">
        <f t="shared" si="2"/>
        <v>4.355555555641156</v>
      </c>
      <c r="P11" s="1053">
        <f t="shared" si="2"/>
        <v>4.577777777822398</v>
      </c>
      <c r="Q11" s="1054">
        <f t="shared" si="2"/>
        <v>3.777777777814918</v>
      </c>
      <c r="R11" s="1054">
        <f t="shared" si="2"/>
        <v>4.133333333272162</v>
      </c>
      <c r="S11" s="1054">
        <f t="shared" si="2"/>
        <v>4.355555555641156</v>
      </c>
      <c r="T11" s="1055">
        <f t="shared" si="2"/>
        <v>3.555555555624596</v>
      </c>
      <c r="U11" s="1055">
        <f t="shared" si="3"/>
        <v>3.911111111091831</v>
      </c>
      <c r="V11" s="1055">
        <f t="shared" si="3"/>
        <v>4.133333333272162</v>
      </c>
      <c r="W11" s="1056">
        <f t="shared" si="3"/>
        <v>3.3333333332864132</v>
      </c>
      <c r="X11" s="1056">
        <f t="shared" si="3"/>
        <v>3.688888888906959</v>
      </c>
      <c r="Y11" s="1056">
        <f t="shared" si="3"/>
        <v>3.911111111091831</v>
      </c>
      <c r="Z11" s="1057">
        <f t="shared" si="3"/>
        <v>3.111111111097181</v>
      </c>
      <c r="AA11" s="1057">
        <f t="shared" si="3"/>
        <v>3.466666666716617</v>
      </c>
      <c r="AB11" s="1057">
        <f t="shared" si="3"/>
        <v>3.688888888906959</v>
      </c>
      <c r="AC11" s="1058">
        <f t="shared" si="3"/>
        <v>2.888888888900899</v>
      </c>
      <c r="AD11" s="1058">
        <f t="shared" si="3"/>
        <v>3.244444444390584</v>
      </c>
      <c r="AE11" s="1058">
        <f t="shared" si="4"/>
        <v>3.466666666716617</v>
      </c>
      <c r="AF11" s="1059">
        <f t="shared" si="4"/>
        <v>2.666666666695737</v>
      </c>
      <c r="AG11" s="1059">
        <f t="shared" si="4"/>
        <v>3.022222222195782</v>
      </c>
      <c r="AH11" s="1059">
        <f t="shared" si="4"/>
        <v>3.244444444390584</v>
      </c>
      <c r="AI11" s="1060">
        <f t="shared" si="4"/>
        <v>2.4444444444225644</v>
      </c>
      <c r="AJ11" s="1060">
        <f t="shared" si="4"/>
        <v>2.8</v>
      </c>
      <c r="AK11" s="1060">
        <f t="shared" si="4"/>
        <v>3.022222222195782</v>
      </c>
    </row>
    <row r="12" spans="8:8" ht="15.75" customHeight="1">
      <c r="D12" s="1049">
        <f t="shared" si="5"/>
        <v>0.025000000000000078</v>
      </c>
      <c r="E12" s="1050">
        <f t="shared" si="0"/>
        <v>7.150000000000023</v>
      </c>
      <c r="F12" s="1050">
        <f t="shared" si="1"/>
        <v>7.550000000000024</v>
      </c>
      <c r="G12" s="1050">
        <f t="shared" si="1"/>
        <v>7.800000000000024</v>
      </c>
      <c r="H12" s="1051">
        <f t="shared" si="2"/>
        <v>6.649999999973751</v>
      </c>
      <c r="I12" s="1051">
        <f t="shared" si="2"/>
        <v>7.050000000081177</v>
      </c>
      <c r="J12" s="1051">
        <f t="shared" si="2"/>
        <v>7.300000000027459</v>
      </c>
      <c r="K12" s="1052">
        <f t="shared" si="2"/>
        <v>6.150000000075417</v>
      </c>
      <c r="L12" s="1052">
        <f t="shared" si="2"/>
        <v>6.549999999947902</v>
      </c>
      <c r="M12" s="1052">
        <f t="shared" si="2"/>
        <v>6.799999999906104</v>
      </c>
      <c r="N12" s="1053">
        <f t="shared" si="2"/>
        <v>4.5</v>
      </c>
      <c r="O12" s="1053">
        <f t="shared" si="2"/>
        <v>4.900000000085596</v>
      </c>
      <c r="P12" s="1053">
        <f t="shared" si="2"/>
        <v>5.150000000044618</v>
      </c>
      <c r="Q12" s="1054">
        <f t="shared" si="2"/>
        <v>4.250000000037137</v>
      </c>
      <c r="R12" s="1054">
        <f t="shared" si="2"/>
        <v>4.649999999938833</v>
      </c>
      <c r="S12" s="1054">
        <f t="shared" si="2"/>
        <v>4.900000000085596</v>
      </c>
      <c r="T12" s="1055">
        <f t="shared" si="2"/>
        <v>4.000000000069036</v>
      </c>
      <c r="U12" s="1055">
        <f t="shared" si="3"/>
        <v>4.399999999980721</v>
      </c>
      <c r="V12" s="1055">
        <f t="shared" si="3"/>
        <v>4.649999999938833</v>
      </c>
      <c r="W12" s="1056">
        <f t="shared" si="3"/>
        <v>3.749999999953083</v>
      </c>
      <c r="X12" s="1056">
        <f t="shared" si="3"/>
        <v>4.150000000018069</v>
      </c>
      <c r="Y12" s="1056">
        <f t="shared" si="3"/>
        <v>4.399999999980721</v>
      </c>
      <c r="Z12" s="1057">
        <f t="shared" si="3"/>
        <v>3.499999999986071</v>
      </c>
      <c r="AA12" s="1057">
        <f t="shared" si="3"/>
        <v>3.9000000000499466</v>
      </c>
      <c r="AB12" s="1057">
        <f t="shared" si="3"/>
        <v>4.150000000018069</v>
      </c>
      <c r="AC12" s="1058">
        <f t="shared" si="3"/>
        <v>3.250000000012009</v>
      </c>
      <c r="AD12" s="1058">
        <f t="shared" si="3"/>
        <v>3.649999999946144</v>
      </c>
      <c r="AE12" s="1058">
        <f t="shared" si="4"/>
        <v>3.9000000000499466</v>
      </c>
      <c r="AF12" s="1059">
        <f t="shared" si="4"/>
        <v>3.000000000029067</v>
      </c>
      <c r="AG12" s="1059">
        <f t="shared" si="4"/>
        <v>3.399999999973562</v>
      </c>
      <c r="AH12" s="1059">
        <f t="shared" si="4"/>
        <v>3.649999999946144</v>
      </c>
      <c r="AI12" s="1060">
        <f t="shared" si="4"/>
        <v>2.749999999978124</v>
      </c>
      <c r="AJ12" s="1060">
        <f t="shared" si="4"/>
        <v>3.15</v>
      </c>
      <c r="AK12" s="1060">
        <f t="shared" si="4"/>
        <v>3.399999999973562</v>
      </c>
    </row>
    <row r="13" spans="8:8" ht="15.75" customHeight="1">
      <c r="D13" s="1049">
        <f t="shared" si="5"/>
        <v>0.02777777777777788</v>
      </c>
      <c r="E13" s="1050">
        <f t="shared" si="0"/>
        <v>7.944444444444474</v>
      </c>
      <c r="F13" s="1050">
        <f t="shared" si="1"/>
        <v>8.38888888888892</v>
      </c>
      <c r="G13" s="1050">
        <f t="shared" si="1"/>
        <v>8.666666666666698</v>
      </c>
      <c r="H13" s="1051">
        <f t="shared" si="2"/>
        <v>7.388888888862642</v>
      </c>
      <c r="I13" s="1051">
        <f t="shared" si="2"/>
        <v>7.833333333414506</v>
      </c>
      <c r="J13" s="1051">
        <f t="shared" si="2"/>
        <v>8.111111111138568</v>
      </c>
      <c r="K13" s="1052">
        <f t="shared" si="2"/>
        <v>6.833333333408747</v>
      </c>
      <c r="L13" s="1052">
        <f t="shared" si="2"/>
        <v>7.277777777725682</v>
      </c>
      <c r="M13" s="1052">
        <f t="shared" si="2"/>
        <v>7.555555555461664</v>
      </c>
      <c r="N13" s="1053">
        <f t="shared" si="2"/>
        <v>5.0</v>
      </c>
      <c r="O13" s="1053">
        <f t="shared" si="2"/>
        <v>5.444444444530036</v>
      </c>
      <c r="P13" s="1053">
        <f t="shared" si="2"/>
        <v>5.722222222266838</v>
      </c>
      <c r="Q13" s="1054">
        <f t="shared" si="2"/>
        <v>4.722222222259358</v>
      </c>
      <c r="R13" s="1054">
        <f t="shared" si="2"/>
        <v>5.1666666666055026</v>
      </c>
      <c r="S13" s="1054">
        <f t="shared" si="2"/>
        <v>5.444444444530036</v>
      </c>
      <c r="T13" s="1055">
        <f t="shared" si="2"/>
        <v>4.4444444445134765</v>
      </c>
      <c r="U13" s="1055">
        <f t="shared" si="3"/>
        <v>4.888888888869611</v>
      </c>
      <c r="V13" s="1055">
        <f t="shared" si="3"/>
        <v>5.1666666666055026</v>
      </c>
      <c r="W13" s="1056">
        <f t="shared" si="3"/>
        <v>4.166666666619753</v>
      </c>
      <c r="X13" s="1056">
        <f t="shared" si="3"/>
        <v>4.611111111129179</v>
      </c>
      <c r="Y13" s="1056">
        <f t="shared" si="3"/>
        <v>4.888888888869611</v>
      </c>
      <c r="Z13" s="1057">
        <f t="shared" si="3"/>
        <v>3.8888888888749613</v>
      </c>
      <c r="AA13" s="1057">
        <f t="shared" si="3"/>
        <v>4.333333333383277</v>
      </c>
      <c r="AB13" s="1057">
        <f t="shared" si="3"/>
        <v>4.611111111129179</v>
      </c>
      <c r="AC13" s="1058">
        <f t="shared" si="3"/>
        <v>3.611111111123119</v>
      </c>
      <c r="AD13" s="1058">
        <f t="shared" si="3"/>
        <v>4.055555555501704</v>
      </c>
      <c r="AE13" s="1058">
        <f t="shared" si="4"/>
        <v>4.333333333383277</v>
      </c>
      <c r="AF13" s="1059">
        <f t="shared" si="4"/>
        <v>3.333333333362397</v>
      </c>
      <c r="AG13" s="1059">
        <f t="shared" si="4"/>
        <v>3.777777777751342</v>
      </c>
      <c r="AH13" s="1059">
        <f t="shared" si="4"/>
        <v>4.055555555501704</v>
      </c>
      <c r="AI13" s="1060">
        <f t="shared" si="4"/>
        <v>3.055555555533684</v>
      </c>
      <c r="AJ13" s="1060">
        <f t="shared" si="4"/>
        <v>3.5</v>
      </c>
      <c r="AK13" s="1060">
        <f t="shared" si="4"/>
        <v>3.777777777751342</v>
      </c>
    </row>
    <row r="14" spans="8:8" ht="15.75" customHeight="1">
      <c r="D14" s="1049">
        <f t="shared" si="5"/>
        <v>0.030555555555555683</v>
      </c>
      <c r="E14" s="1050">
        <f t="shared" si="0"/>
        <v>8.738888888888924</v>
      </c>
      <c r="F14" s="1050">
        <f t="shared" si="1"/>
        <v>9.227777777777817</v>
      </c>
      <c r="G14" s="1050">
        <f t="shared" si="1"/>
        <v>9.533333333333372</v>
      </c>
      <c r="H14" s="1051">
        <f t="shared" si="2"/>
        <v>8.12777777775153</v>
      </c>
      <c r="I14" s="1051">
        <f t="shared" si="2"/>
        <v>8.616666666747836</v>
      </c>
      <c r="J14" s="1051">
        <f t="shared" si="2"/>
        <v>8.922222222249678</v>
      </c>
      <c r="K14" s="1052">
        <f t="shared" si="2"/>
        <v>7.5166666667420765</v>
      </c>
      <c r="L14" s="1052">
        <f t="shared" si="2"/>
        <v>8.005555555503463</v>
      </c>
      <c r="M14" s="1052">
        <f t="shared" si="2"/>
        <v>8.311111111017224</v>
      </c>
      <c r="N14" s="1053">
        <f t="shared" si="2"/>
        <v>5.5</v>
      </c>
      <c r="O14" s="1053">
        <f t="shared" si="2"/>
        <v>5.988888888974476</v>
      </c>
      <c r="P14" s="1053">
        <f t="shared" si="2"/>
        <v>6.294444444489058</v>
      </c>
      <c r="Q14" s="1054">
        <f t="shared" si="2"/>
        <v>5.194444444481578</v>
      </c>
      <c r="R14" s="1054">
        <f t="shared" si="2"/>
        <v>5.683333333272174</v>
      </c>
      <c r="S14" s="1054">
        <f t="shared" si="2"/>
        <v>5.988888888974476</v>
      </c>
      <c r="T14" s="1055">
        <f t="shared" si="2"/>
        <v>4.888888888957916</v>
      </c>
      <c r="U14" s="1055">
        <f t="shared" si="3"/>
        <v>5.377777777758501</v>
      </c>
      <c r="V14" s="1055">
        <f t="shared" si="3"/>
        <v>5.683333333272174</v>
      </c>
      <c r="W14" s="1056">
        <f t="shared" si="3"/>
        <v>4.583333333286423</v>
      </c>
      <c r="X14" s="1056">
        <f t="shared" si="3"/>
        <v>5.072222222240288</v>
      </c>
      <c r="Y14" s="1056">
        <f t="shared" si="3"/>
        <v>5.377777777758501</v>
      </c>
      <c r="Z14" s="1057">
        <f t="shared" si="3"/>
        <v>4.277777777763851</v>
      </c>
      <c r="AA14" s="1057">
        <f t="shared" si="3"/>
        <v>4.766666666716607</v>
      </c>
      <c r="AB14" s="1057">
        <f t="shared" si="3"/>
        <v>5.072222222240288</v>
      </c>
      <c r="AC14" s="1058">
        <f t="shared" si="3"/>
        <v>3.972222222234229</v>
      </c>
      <c r="AD14" s="1058">
        <f t="shared" si="3"/>
        <v>4.4611111110572645</v>
      </c>
      <c r="AE14" s="1058">
        <f t="shared" si="4"/>
        <v>4.766666666716607</v>
      </c>
      <c r="AF14" s="1059">
        <f t="shared" si="4"/>
        <v>3.6666666666957273</v>
      </c>
      <c r="AG14" s="1059">
        <f t="shared" si="4"/>
        <v>4.155555555529122</v>
      </c>
      <c r="AH14" s="1059">
        <f t="shared" si="4"/>
        <v>4.4611111110572645</v>
      </c>
      <c r="AI14" s="1060">
        <f t="shared" si="4"/>
        <v>3.3611111110892438</v>
      </c>
      <c r="AJ14" s="1060">
        <f t="shared" si="4"/>
        <v>3.85</v>
      </c>
      <c r="AK14" s="1060">
        <f t="shared" si="4"/>
        <v>4.155555555529122</v>
      </c>
    </row>
    <row r="15" spans="8:8" ht="15.75" customHeight="1">
      <c r="D15" s="1049">
        <f t="shared" si="5"/>
        <v>0.03333333333333348</v>
      </c>
      <c r="E15" s="1050">
        <f t="shared" si="0"/>
        <v>9.533333333333374</v>
      </c>
      <c r="F15" s="1050">
        <f t="shared" si="1"/>
        <v>10.06666666666671</v>
      </c>
      <c r="G15" s="1050">
        <f t="shared" si="1"/>
        <v>10.400000000000045</v>
      </c>
      <c r="H15" s="1051">
        <f t="shared" si="2"/>
        <v>8.866666666640421</v>
      </c>
      <c r="I15" s="1051">
        <f t="shared" si="2"/>
        <v>9.400000000081167</v>
      </c>
      <c r="J15" s="1051">
        <f t="shared" si="2"/>
        <v>9.733333333360788</v>
      </c>
      <c r="K15" s="1052">
        <f t="shared" si="2"/>
        <v>8.200000000075406</v>
      </c>
      <c r="L15" s="1052">
        <f t="shared" si="2"/>
        <v>8.733333333281243</v>
      </c>
      <c r="M15" s="1052">
        <f t="shared" si="2"/>
        <v>9.066666666572784</v>
      </c>
      <c r="N15" s="1053">
        <f t="shared" si="2"/>
        <v>6.0</v>
      </c>
      <c r="O15" s="1053">
        <f t="shared" si="2"/>
        <v>6.533333333418915</v>
      </c>
      <c r="P15" s="1053">
        <f t="shared" si="2"/>
        <v>6.866666666711278</v>
      </c>
      <c r="Q15" s="1054">
        <f t="shared" si="2"/>
        <v>5.666666666703797</v>
      </c>
      <c r="R15" s="1054">
        <f t="shared" si="2"/>
        <v>6.199999999938843</v>
      </c>
      <c r="S15" s="1054">
        <f t="shared" si="2"/>
        <v>6.533333333418915</v>
      </c>
      <c r="T15" s="1055">
        <f t="shared" si="2"/>
        <v>5.333333333402356</v>
      </c>
      <c r="U15" s="1055">
        <f t="shared" si="3"/>
        <v>5.866666666647391</v>
      </c>
      <c r="V15" s="1055">
        <f t="shared" si="3"/>
        <v>6.199999999938843</v>
      </c>
      <c r="W15" s="1056">
        <f t="shared" si="3"/>
        <v>4.999999999953093</v>
      </c>
      <c r="X15" s="1056">
        <f t="shared" si="3"/>
        <v>5.533333333351399</v>
      </c>
      <c r="Y15" s="1056">
        <f t="shared" si="3"/>
        <v>5.866666666647391</v>
      </c>
      <c r="Z15" s="1057">
        <f t="shared" si="3"/>
        <v>4.66666666665274</v>
      </c>
      <c r="AA15" s="1057">
        <f t="shared" si="3"/>
        <v>5.200000000049937</v>
      </c>
      <c r="AB15" s="1057">
        <f t="shared" si="3"/>
        <v>5.533333333351399</v>
      </c>
      <c r="AC15" s="1058">
        <f t="shared" si="3"/>
        <v>4.333333333345339</v>
      </c>
      <c r="AD15" s="1058">
        <f t="shared" si="3"/>
        <v>4.866666666612824</v>
      </c>
      <c r="AE15" s="1058">
        <f t="shared" si="4"/>
        <v>5.200000000049937</v>
      </c>
      <c r="AF15" s="1059">
        <f t="shared" si="4"/>
        <v>4.000000000029057</v>
      </c>
      <c r="AG15" s="1059">
        <f t="shared" si="4"/>
        <v>4.533333333306902</v>
      </c>
      <c r="AH15" s="1059">
        <f t="shared" si="4"/>
        <v>4.866666666612824</v>
      </c>
      <c r="AI15" s="1060">
        <f t="shared" si="4"/>
        <v>3.6666666666448036</v>
      </c>
      <c r="AJ15" s="1060">
        <f t="shared" si="4"/>
        <v>4.2</v>
      </c>
      <c r="AK15" s="1060">
        <f t="shared" si="4"/>
        <v>4.533333333306902</v>
      </c>
    </row>
    <row r="16" spans="8:8" ht="15.75" customHeight="1">
      <c r="D16" s="1049">
        <f t="shared" si="5"/>
        <v>0.03611111111111128</v>
      </c>
      <c r="E16" s="1050">
        <f t="shared" si="0"/>
        <v>10.327777777777827</v>
      </c>
      <c r="F16" s="1050">
        <f t="shared" si="1"/>
        <v>10.905555555555607</v>
      </c>
      <c r="G16" s="1050">
        <f t="shared" si="1"/>
        <v>11.266666666666719</v>
      </c>
      <c r="H16" s="1051">
        <f t="shared" si="2"/>
        <v>9.60555555552931</v>
      </c>
      <c r="I16" s="1051">
        <f t="shared" si="2"/>
        <v>10.183333333414467</v>
      </c>
      <c r="J16" s="1051">
        <f t="shared" si="2"/>
        <v>10.544444444471889</v>
      </c>
      <c r="K16" s="1052">
        <f t="shared" si="2"/>
        <v>8.883333333408736</v>
      </c>
      <c r="L16" s="1052">
        <f t="shared" si="2"/>
        <v>9.461111111059022</v>
      </c>
      <c r="M16" s="1052">
        <f t="shared" si="2"/>
        <v>9.822222222128344</v>
      </c>
      <c r="N16" s="1053">
        <f t="shared" si="2"/>
        <v>6.5</v>
      </c>
      <c r="O16" s="1053">
        <f t="shared" si="2"/>
        <v>7.077777777863356</v>
      </c>
      <c r="P16" s="1053">
        <f t="shared" si="2"/>
        <v>7.438888888933499</v>
      </c>
      <c r="Q16" s="1054">
        <f t="shared" si="2"/>
        <v>6.138888888926018</v>
      </c>
      <c r="R16" s="1054">
        <f t="shared" si="2"/>
        <v>6.716666666605512</v>
      </c>
      <c r="S16" s="1054">
        <f t="shared" si="2"/>
        <v>7.077777777863356</v>
      </c>
      <c r="T16" s="1055">
        <f t="shared" si="2"/>
        <v>5.777777777846796</v>
      </c>
      <c r="U16" s="1055">
        <f t="shared" si="3"/>
        <v>6.355555555536281</v>
      </c>
      <c r="V16" s="1055">
        <f t="shared" si="3"/>
        <v>6.716666666605512</v>
      </c>
      <c r="W16" s="1056">
        <f t="shared" si="3"/>
        <v>5.416666666619763</v>
      </c>
      <c r="X16" s="1056">
        <f t="shared" si="3"/>
        <v>5.994444444462509</v>
      </c>
      <c r="Y16" s="1056">
        <f t="shared" si="3"/>
        <v>6.355555555536281</v>
      </c>
      <c r="Z16" s="1057">
        <f t="shared" si="3"/>
        <v>5.0555555555416305</v>
      </c>
      <c r="AA16" s="1057">
        <f t="shared" si="3"/>
        <v>5.633333333383267</v>
      </c>
      <c r="AB16" s="1057">
        <f t="shared" si="3"/>
        <v>5.994444444462509</v>
      </c>
      <c r="AC16" s="1058">
        <f t="shared" si="3"/>
        <v>4.694444444456449</v>
      </c>
      <c r="AD16" s="1058">
        <f t="shared" si="3"/>
        <v>5.272222222168384</v>
      </c>
      <c r="AE16" s="1058">
        <f t="shared" si="4"/>
        <v>5.633333333383267</v>
      </c>
      <c r="AF16" s="1059">
        <f t="shared" si="4"/>
        <v>4.333333333362387</v>
      </c>
      <c r="AG16" s="1059">
        <f t="shared" si="4"/>
        <v>4.911111111084682</v>
      </c>
      <c r="AH16" s="1059">
        <f t="shared" si="4"/>
        <v>5.272222222168384</v>
      </c>
      <c r="AI16" s="1060">
        <f t="shared" si="4"/>
        <v>3.9722222222003634</v>
      </c>
      <c r="AJ16" s="1060">
        <f t="shared" si="4"/>
        <v>4.550000000000001</v>
      </c>
      <c r="AK16" s="1060">
        <f t="shared" si="4"/>
        <v>4.911111111084682</v>
      </c>
    </row>
    <row r="17" spans="8:8" ht="15.75" customHeight="1">
      <c r="D17" s="1049">
        <f t="shared" si="5"/>
        <v>0.038888888888889084</v>
      </c>
      <c r="E17" s="1050">
        <f t="shared" si="0"/>
        <v>11.122222222222279</v>
      </c>
      <c r="F17" s="1050">
        <f t="shared" si="1"/>
        <v>11.744444444444504</v>
      </c>
      <c r="G17" s="1050">
        <f t="shared" si="1"/>
        <v>12.133333333333393</v>
      </c>
      <c r="H17" s="1051">
        <f t="shared" si="2"/>
        <v>10.344444444418212</v>
      </c>
      <c r="I17" s="1051">
        <f t="shared" si="2"/>
        <v>10.966666666747766</v>
      </c>
      <c r="J17" s="1051">
        <f t="shared" si="2"/>
        <v>11.355555555582988</v>
      </c>
      <c r="K17" s="1052">
        <f t="shared" si="2"/>
        <v>9.566666666742066</v>
      </c>
      <c r="L17" s="1052">
        <f t="shared" si="2"/>
        <v>10.188888888836821</v>
      </c>
      <c r="M17" s="1052">
        <f t="shared" si="2"/>
        <v>10.577777777683943</v>
      </c>
      <c r="N17" s="1053">
        <f t="shared" si="2"/>
        <v>7.0</v>
      </c>
      <c r="O17" s="1053">
        <f t="shared" si="2"/>
        <v>7.622222222307796</v>
      </c>
      <c r="P17" s="1053">
        <f t="shared" si="2"/>
        <v>8.011111111155717</v>
      </c>
      <c r="Q17" s="1054">
        <f t="shared" si="2"/>
        <v>6.6111111111482375</v>
      </c>
      <c r="R17" s="1054">
        <f t="shared" si="2"/>
        <v>7.233333333272183</v>
      </c>
      <c r="S17" s="1054">
        <f t="shared" si="2"/>
        <v>7.622222222307796</v>
      </c>
      <c r="T17" s="1055">
        <f t="shared" si="2"/>
        <v>6.2222222222912364</v>
      </c>
      <c r="U17" s="1055">
        <f t="shared" si="3"/>
        <v>6.844444444425171</v>
      </c>
      <c r="V17" s="1055">
        <f t="shared" si="3"/>
        <v>7.233333333272183</v>
      </c>
      <c r="W17" s="1056">
        <f t="shared" si="3"/>
        <v>5.833333333286433</v>
      </c>
      <c r="X17" s="1056">
        <f t="shared" si="3"/>
        <v>6.455555555573619</v>
      </c>
      <c r="Y17" s="1056">
        <f t="shared" si="3"/>
        <v>6.844444444425171</v>
      </c>
      <c r="Z17" s="1057">
        <f t="shared" si="3"/>
        <v>5.444444444430521</v>
      </c>
      <c r="AA17" s="1057">
        <f t="shared" si="3"/>
        <v>6.066666666716597</v>
      </c>
      <c r="AB17" s="1057">
        <f t="shared" si="3"/>
        <v>6.455555555573619</v>
      </c>
      <c r="AC17" s="1058">
        <f t="shared" si="3"/>
        <v>5.055555555567559</v>
      </c>
      <c r="AD17" s="1058">
        <f t="shared" si="3"/>
        <v>5.677777777723944</v>
      </c>
      <c r="AE17" s="1058">
        <f t="shared" si="4"/>
        <v>6.066666666716597</v>
      </c>
      <c r="AF17" s="1059">
        <f t="shared" si="4"/>
        <v>4.666666666695717</v>
      </c>
      <c r="AG17" s="1059">
        <f t="shared" si="4"/>
        <v>5.288888888862462</v>
      </c>
      <c r="AH17" s="1059">
        <f t="shared" si="4"/>
        <v>5.677777777723944</v>
      </c>
      <c r="AI17" s="1060">
        <f t="shared" si="4"/>
        <v>4.277777777755924</v>
      </c>
      <c r="AJ17" s="1060">
        <f t="shared" si="4"/>
        <v>4.9</v>
      </c>
      <c r="AK17" s="1060">
        <f t="shared" si="4"/>
        <v>5.288888888862462</v>
      </c>
    </row>
    <row r="18" spans="8:8" ht="15.75" customHeight="1">
      <c r="D18" s="1049">
        <f t="shared" si="5"/>
        <v>0.04166666666666688</v>
      </c>
      <c r="E18" s="1050">
        <f t="shared" si="0"/>
        <v>11.916666666666728</v>
      </c>
      <c r="F18" s="1050">
        <f t="shared" si="1"/>
        <v>12.583333333333398</v>
      </c>
      <c r="G18" s="1050">
        <f t="shared" si="1"/>
        <v>13.000000000000066</v>
      </c>
      <c r="H18" s="1051">
        <f t="shared" si="2"/>
        <v>11.083333333307111</v>
      </c>
      <c r="I18" s="1051">
        <f t="shared" si="2"/>
        <v>11.750000000081068</v>
      </c>
      <c r="J18" s="1051">
        <f t="shared" si="2"/>
        <v>12.166666666694088</v>
      </c>
      <c r="K18" s="1052">
        <f t="shared" si="2"/>
        <v>10.250000000075367</v>
      </c>
      <c r="L18" s="1052">
        <f t="shared" si="2"/>
        <v>10.916666666614622</v>
      </c>
      <c r="M18" s="1052">
        <f t="shared" si="2"/>
        <v>11.333333333239544</v>
      </c>
      <c r="N18" s="1053">
        <f t="shared" si="2"/>
        <v>7.5</v>
      </c>
      <c r="O18" s="1053">
        <f t="shared" si="2"/>
        <v>8.166666666752235</v>
      </c>
      <c r="P18" s="1053">
        <f t="shared" si="2"/>
        <v>8.583333333377936</v>
      </c>
      <c r="Q18" s="1054">
        <f t="shared" si="2"/>
        <v>7.083333333370458</v>
      </c>
      <c r="R18" s="1054">
        <f t="shared" si="2"/>
        <v>7.7499999999388525</v>
      </c>
      <c r="S18" s="1054">
        <f t="shared" si="2"/>
        <v>8.166666666752235</v>
      </c>
      <c r="T18" s="1055">
        <f t="shared" si="6" ref="T18:AE41">T19-(T$363/360)</f>
        <v>6.666666666735677</v>
      </c>
      <c r="U18" s="1055">
        <f t="shared" si="3"/>
        <v>7.333333333314061</v>
      </c>
      <c r="V18" s="1055">
        <f t="shared" si="3"/>
        <v>7.7499999999388525</v>
      </c>
      <c r="W18" s="1056">
        <f t="shared" si="3"/>
        <v>6.249999999953103</v>
      </c>
      <c r="X18" s="1056">
        <f t="shared" si="3"/>
        <v>6.916666666684729</v>
      </c>
      <c r="Y18" s="1056">
        <f t="shared" si="3"/>
        <v>7.333333333314061</v>
      </c>
      <c r="Z18" s="1057">
        <f t="shared" si="3"/>
        <v>5.833333333319411</v>
      </c>
      <c r="AA18" s="1057">
        <f t="shared" si="3"/>
        <v>6.500000000049927</v>
      </c>
      <c r="AB18" s="1057">
        <f t="shared" si="3"/>
        <v>6.916666666684729</v>
      </c>
      <c r="AC18" s="1058">
        <f t="shared" si="3"/>
        <v>5.416666666678669</v>
      </c>
      <c r="AD18" s="1058">
        <f t="shared" si="3"/>
        <v>6.083333333279504</v>
      </c>
      <c r="AE18" s="1058">
        <f t="shared" si="4"/>
        <v>6.500000000049927</v>
      </c>
      <c r="AF18" s="1059">
        <f t="shared" si="4"/>
        <v>5.000000000029047</v>
      </c>
      <c r="AG18" s="1059">
        <f t="shared" si="4"/>
        <v>5.666666666640242</v>
      </c>
      <c r="AH18" s="1059">
        <f t="shared" si="4"/>
        <v>6.083333333279504</v>
      </c>
      <c r="AI18" s="1060">
        <f t="shared" si="4"/>
        <v>4.583333333311484</v>
      </c>
      <c r="AJ18" s="1060">
        <f t="shared" si="4"/>
        <v>5.25</v>
      </c>
      <c r="AK18" s="1060">
        <f t="shared" si="4"/>
        <v>5.666666666640242</v>
      </c>
    </row>
    <row r="19" spans="8:8" ht="15.75" customHeight="1">
      <c r="D19" s="1049">
        <f t="shared" si="5"/>
        <v>0.04444444444444468</v>
      </c>
      <c r="E19" s="1050">
        <f t="shared" si="0"/>
        <v>12.71111111111118</v>
      </c>
      <c r="F19" s="1050">
        <f t="shared" si="1"/>
        <v>13.422222222222294</v>
      </c>
      <c r="G19" s="1050">
        <f t="shared" si="1"/>
        <v>13.86666666666674</v>
      </c>
      <c r="H19" s="1051">
        <f t="shared" si="7" ref="H19:S35">H20-(H$363/360)</f>
        <v>11.822222222196011</v>
      </c>
      <c r="I19" s="1051">
        <f t="shared" si="7"/>
        <v>12.533333333414367</v>
      </c>
      <c r="J19" s="1051">
        <f t="shared" si="7"/>
        <v>12.977777777805189</v>
      </c>
      <c r="K19" s="1052">
        <f t="shared" si="7"/>
        <v>10.933333333408667</v>
      </c>
      <c r="L19" s="1052">
        <f t="shared" si="7"/>
        <v>11.644444444392422</v>
      </c>
      <c r="M19" s="1052">
        <f t="shared" si="7"/>
        <v>12.088888888795143</v>
      </c>
      <c r="N19" s="1053">
        <f t="shared" si="7"/>
        <v>8.0</v>
      </c>
      <c r="O19" s="1053">
        <f t="shared" si="7"/>
        <v>8.711111111196676</v>
      </c>
      <c r="P19" s="1053">
        <f t="shared" si="7"/>
        <v>9.15555555560016</v>
      </c>
      <c r="Q19" s="1054">
        <f t="shared" si="7"/>
        <v>7.5555555555926786</v>
      </c>
      <c r="R19" s="1054">
        <f t="shared" si="7"/>
        <v>8.266666666605522</v>
      </c>
      <c r="S19" s="1054">
        <f t="shared" si="7"/>
        <v>8.711111111196676</v>
      </c>
      <c r="T19" s="1055">
        <f t="shared" si="6"/>
        <v>7.111111111180116</v>
      </c>
      <c r="U19" s="1055">
        <f t="shared" si="6"/>
        <v>7.822222222202951</v>
      </c>
      <c r="V19" s="1055">
        <f t="shared" si="6"/>
        <v>8.266666666605522</v>
      </c>
      <c r="W19" s="1056">
        <f t="shared" si="6"/>
        <v>6.666666666619773</v>
      </c>
      <c r="X19" s="1056">
        <f t="shared" si="6"/>
        <v>7.377777777795838</v>
      </c>
      <c r="Y19" s="1056">
        <f t="shared" si="6"/>
        <v>7.822222222202951</v>
      </c>
      <c r="Z19" s="1057">
        <f t="shared" si="6"/>
        <v>6.222222222208301</v>
      </c>
      <c r="AA19" s="1057">
        <f t="shared" si="6"/>
        <v>6.933333333383257</v>
      </c>
      <c r="AB19" s="1057">
        <f t="shared" si="6"/>
        <v>7.377777777795838</v>
      </c>
      <c r="AC19" s="1058">
        <f t="shared" si="6"/>
        <v>5.77777777778978</v>
      </c>
      <c r="AD19" s="1058">
        <f t="shared" si="6"/>
        <v>6.488888888835064</v>
      </c>
      <c r="AE19" s="1058">
        <f t="shared" si="4"/>
        <v>6.933333333383257</v>
      </c>
      <c r="AF19" s="1059">
        <f t="shared" si="4"/>
        <v>5.333333333362377</v>
      </c>
      <c r="AG19" s="1059">
        <f t="shared" si="4"/>
        <v>6.044444444418022</v>
      </c>
      <c r="AH19" s="1059">
        <f t="shared" si="4"/>
        <v>6.488888888835064</v>
      </c>
      <c r="AI19" s="1060">
        <f t="shared" si="4"/>
        <v>4.888888888867044</v>
      </c>
      <c r="AJ19" s="1060">
        <f t="shared" si="4"/>
        <v>5.6000000000000005</v>
      </c>
      <c r="AK19" s="1060">
        <f t="shared" si="4"/>
        <v>6.044444444418022</v>
      </c>
    </row>
    <row r="20" spans="8:8" ht="15.75" customHeight="1">
      <c r="D20" s="1049">
        <f t="shared" si="5"/>
        <v>0.047222222222222485</v>
      </c>
      <c r="E20" s="1050">
        <f t="shared" si="0"/>
        <v>13.505555555555631</v>
      </c>
      <c r="F20" s="1050">
        <f t="shared" si="1"/>
        <v>14.261111111111191</v>
      </c>
      <c r="G20" s="1050">
        <f t="shared" si="1"/>
        <v>14.733333333333416</v>
      </c>
      <c r="H20" s="1051">
        <f t="shared" si="7"/>
        <v>12.56111111108491</v>
      </c>
      <c r="I20" s="1051">
        <f t="shared" si="7"/>
        <v>13.316666666747667</v>
      </c>
      <c r="J20" s="1051">
        <f t="shared" si="7"/>
        <v>13.788888888916288</v>
      </c>
      <c r="K20" s="1052">
        <f t="shared" si="7"/>
        <v>11.616666666741967</v>
      </c>
      <c r="L20" s="1052">
        <f t="shared" si="7"/>
        <v>12.372222222170222</v>
      </c>
      <c r="M20" s="1052">
        <f t="shared" si="7"/>
        <v>12.844444444350744</v>
      </c>
      <c r="N20" s="1053">
        <f t="shared" si="7"/>
        <v>8.5</v>
      </c>
      <c r="O20" s="1053">
        <f t="shared" si="7"/>
        <v>9.255555555641116</v>
      </c>
      <c r="P20" s="1053">
        <f t="shared" si="7"/>
        <v>9.727777777822379</v>
      </c>
      <c r="Q20" s="1054">
        <f t="shared" si="7"/>
        <v>8.027777777814899</v>
      </c>
      <c r="R20" s="1054">
        <f t="shared" si="7"/>
        <v>8.783333333272193</v>
      </c>
      <c r="S20" s="1054">
        <f t="shared" si="7"/>
        <v>9.255555555641116</v>
      </c>
      <c r="T20" s="1055">
        <f t="shared" si="6"/>
        <v>7.555555555624557</v>
      </c>
      <c r="U20" s="1055">
        <f t="shared" si="6"/>
        <v>8.311111111091842</v>
      </c>
      <c r="V20" s="1055">
        <f t="shared" si="6"/>
        <v>8.783333333272193</v>
      </c>
      <c r="W20" s="1056">
        <f t="shared" si="6"/>
        <v>7.083333333286443</v>
      </c>
      <c r="X20" s="1056">
        <f t="shared" si="6"/>
        <v>7.838888888906948</v>
      </c>
      <c r="Y20" s="1056">
        <f t="shared" si="6"/>
        <v>8.311111111091842</v>
      </c>
      <c r="Z20" s="1057">
        <f t="shared" si="6"/>
        <v>6.61111111109719</v>
      </c>
      <c r="AA20" s="1057">
        <f t="shared" si="6"/>
        <v>7.366666666716587</v>
      </c>
      <c r="AB20" s="1057">
        <f t="shared" si="6"/>
        <v>7.838888888906948</v>
      </c>
      <c r="AC20" s="1058">
        <f t="shared" si="6"/>
        <v>6.1388888889008895</v>
      </c>
      <c r="AD20" s="1058">
        <f t="shared" si="6"/>
        <v>6.894444444390624</v>
      </c>
      <c r="AE20" s="1058">
        <f t="shared" si="4"/>
        <v>7.366666666716587</v>
      </c>
      <c r="AF20" s="1059">
        <f t="shared" si="4"/>
        <v>5.666666666695707</v>
      </c>
      <c r="AG20" s="1059">
        <f t="shared" si="4"/>
        <v>6.422222222195802</v>
      </c>
      <c r="AH20" s="1059">
        <f t="shared" si="4"/>
        <v>6.894444444390624</v>
      </c>
      <c r="AI20" s="1060">
        <f t="shared" si="4"/>
        <v>5.1944444444226034</v>
      </c>
      <c r="AJ20" s="1060">
        <f t="shared" si="4"/>
        <v>5.95</v>
      </c>
      <c r="AK20" s="1060">
        <f t="shared" si="4"/>
        <v>6.422222222195802</v>
      </c>
    </row>
    <row r="21" spans="8:8" ht="15.75" customHeight="1">
      <c r="D21" s="1049">
        <f t="shared" si="5"/>
        <v>0.05000000000000028</v>
      </c>
      <c r="E21" s="1050">
        <f t="shared" si="0"/>
        <v>14.30000000000008</v>
      </c>
      <c r="F21" s="1050">
        <f t="shared" si="1"/>
        <v>15.100000000000085</v>
      </c>
      <c r="G21" s="1050">
        <f t="shared" si="1"/>
        <v>15.600000000000087</v>
      </c>
      <c r="H21" s="1051">
        <f t="shared" si="7"/>
        <v>13.299999999973812</v>
      </c>
      <c r="I21" s="1051">
        <f t="shared" si="7"/>
        <v>14.100000000080966</v>
      </c>
      <c r="J21" s="1051">
        <f t="shared" si="7"/>
        <v>14.600000000027388</v>
      </c>
      <c r="K21" s="1052">
        <f t="shared" si="7"/>
        <v>12.300000000075267</v>
      </c>
      <c r="L21" s="1052">
        <f t="shared" si="7"/>
        <v>13.099999999948022</v>
      </c>
      <c r="M21" s="1052">
        <f t="shared" si="7"/>
        <v>13.599999999906343</v>
      </c>
      <c r="N21" s="1053">
        <f t="shared" si="7"/>
        <v>9.0</v>
      </c>
      <c r="O21" s="1053">
        <f t="shared" si="7"/>
        <v>9.800000000085555</v>
      </c>
      <c r="P21" s="1053">
        <f t="shared" si="7"/>
        <v>10.300000000044577</v>
      </c>
      <c r="Q21" s="1054">
        <f t="shared" si="7"/>
        <v>8.500000000037119</v>
      </c>
      <c r="R21" s="1054">
        <f t="shared" si="7"/>
        <v>9.299999999938862</v>
      </c>
      <c r="S21" s="1054">
        <f t="shared" si="7"/>
        <v>9.800000000085555</v>
      </c>
      <c r="T21" s="1055">
        <f t="shared" si="6"/>
        <v>8.000000000068995</v>
      </c>
      <c r="U21" s="1055">
        <f t="shared" si="6"/>
        <v>8.79999999998073</v>
      </c>
      <c r="V21" s="1055">
        <f t="shared" si="6"/>
        <v>9.299999999938862</v>
      </c>
      <c r="W21" s="1056">
        <f t="shared" si="6"/>
        <v>7.499999999953113</v>
      </c>
      <c r="X21" s="1056">
        <f t="shared" si="6"/>
        <v>8.30000000001806</v>
      </c>
      <c r="Y21" s="1056">
        <f t="shared" si="6"/>
        <v>8.79999999998073</v>
      </c>
      <c r="Z21" s="1057">
        <f t="shared" si="6"/>
        <v>6.9999999999860805</v>
      </c>
      <c r="AA21" s="1057">
        <f t="shared" si="6"/>
        <v>7.800000000049917</v>
      </c>
      <c r="AB21" s="1057">
        <f t="shared" si="6"/>
        <v>8.30000000001806</v>
      </c>
      <c r="AC21" s="1058">
        <f t="shared" si="6"/>
        <v>6.500000000011999</v>
      </c>
      <c r="AD21" s="1058">
        <f t="shared" si="6"/>
        <v>7.299999999946184</v>
      </c>
      <c r="AE21" s="1058">
        <f t="shared" si="4"/>
        <v>7.800000000049917</v>
      </c>
      <c r="AF21" s="1059">
        <f t="shared" si="4"/>
        <v>6.000000000029037</v>
      </c>
      <c r="AG21" s="1059">
        <f t="shared" si="4"/>
        <v>6.799999999973582</v>
      </c>
      <c r="AH21" s="1059">
        <f t="shared" si="4"/>
        <v>7.299999999946184</v>
      </c>
      <c r="AI21" s="1060">
        <f t="shared" si="4"/>
        <v>5.499999999978164</v>
      </c>
      <c r="AJ21" s="1060">
        <f t="shared" si="4"/>
        <v>6.300000000000001</v>
      </c>
      <c r="AK21" s="1060">
        <f t="shared" si="4"/>
        <v>6.799999999973582</v>
      </c>
    </row>
    <row r="22" spans="8:8" ht="15.75" customHeight="1">
      <c r="D22" s="1049">
        <f t="shared" si="5"/>
        <v>0.05277777777777808</v>
      </c>
      <c r="E22" s="1050">
        <f t="shared" si="0"/>
        <v>15.094444444444532</v>
      </c>
      <c r="F22" s="1050">
        <f t="shared" si="1"/>
        <v>15.93888888888898</v>
      </c>
      <c r="G22" s="1050">
        <f t="shared" si="1"/>
        <v>16.46666666666676</v>
      </c>
      <c r="H22" s="1051">
        <f t="shared" si="7"/>
        <v>14.038888888862711</v>
      </c>
      <c r="I22" s="1051">
        <f t="shared" si="7"/>
        <v>14.883333333414267</v>
      </c>
      <c r="J22" s="1051">
        <f t="shared" si="7"/>
        <v>15.411111111138487</v>
      </c>
      <c r="K22" s="1052">
        <f t="shared" si="7"/>
        <v>12.983333333408567</v>
      </c>
      <c r="L22" s="1052">
        <f t="shared" si="7"/>
        <v>13.827777777725823</v>
      </c>
      <c r="M22" s="1052">
        <f t="shared" si="7"/>
        <v>14.355555555461944</v>
      </c>
      <c r="N22" s="1053">
        <f t="shared" si="7"/>
        <v>9.5</v>
      </c>
      <c r="O22" s="1053">
        <f t="shared" si="7"/>
        <v>10.344444444529955</v>
      </c>
      <c r="P22" s="1053">
        <f t="shared" si="7"/>
        <v>10.872222222266778</v>
      </c>
      <c r="Q22" s="1054">
        <f t="shared" si="7"/>
        <v>8.972222222259338</v>
      </c>
      <c r="R22" s="1054">
        <f t="shared" si="7"/>
        <v>9.816666666605533</v>
      </c>
      <c r="S22" s="1054">
        <f t="shared" si="7"/>
        <v>10.344444444529955</v>
      </c>
      <c r="T22" s="1055">
        <f t="shared" si="6"/>
        <v>8.444444444513435</v>
      </c>
      <c r="U22" s="1055">
        <f t="shared" si="6"/>
        <v>9.288888888869621</v>
      </c>
      <c r="V22" s="1055">
        <f t="shared" si="6"/>
        <v>9.816666666605533</v>
      </c>
      <c r="W22" s="1056">
        <f t="shared" si="6"/>
        <v>7.916666666619784</v>
      </c>
      <c r="X22" s="1056">
        <f t="shared" si="6"/>
        <v>8.76111111112917</v>
      </c>
      <c r="Y22" s="1056">
        <f t="shared" si="6"/>
        <v>9.288888888869621</v>
      </c>
      <c r="Z22" s="1057">
        <f t="shared" si="6"/>
        <v>7.388888888874971</v>
      </c>
      <c r="AA22" s="1057">
        <f t="shared" si="6"/>
        <v>8.233333333383246</v>
      </c>
      <c r="AB22" s="1057">
        <f t="shared" si="6"/>
        <v>8.76111111112917</v>
      </c>
      <c r="AC22" s="1058">
        <f t="shared" si="6"/>
        <v>6.861111111123109</v>
      </c>
      <c r="AD22" s="1058">
        <f t="shared" si="6"/>
        <v>7.705555555501744</v>
      </c>
      <c r="AE22" s="1058">
        <f t="shared" si="4"/>
        <v>8.233333333383246</v>
      </c>
      <c r="AF22" s="1059">
        <f t="shared" si="4"/>
        <v>6.333333333362367</v>
      </c>
      <c r="AG22" s="1059">
        <f t="shared" si="4"/>
        <v>7.177777777751362</v>
      </c>
      <c r="AH22" s="1059">
        <f t="shared" si="4"/>
        <v>7.705555555501744</v>
      </c>
      <c r="AI22" s="1060">
        <f t="shared" si="4"/>
        <v>5.805555555533724</v>
      </c>
      <c r="AJ22" s="1060">
        <f t="shared" si="4"/>
        <v>6.65</v>
      </c>
      <c r="AK22" s="1060">
        <f t="shared" si="4"/>
        <v>7.177777777751362</v>
      </c>
    </row>
    <row r="23" spans="8:8" ht="15.75" customHeight="1">
      <c r="D23" s="1049">
        <f t="shared" si="5"/>
        <v>0.05555555555555588</v>
      </c>
      <c r="E23" s="1050">
        <f t="shared" si="0"/>
        <v>15.888888888888982</v>
      </c>
      <c r="F23" s="1050">
        <f t="shared" si="1"/>
        <v>16.777777777777874</v>
      </c>
      <c r="G23" s="1050">
        <f t="shared" si="1"/>
        <v>17.333333333333435</v>
      </c>
      <c r="H23" s="1051">
        <f t="shared" si="7"/>
        <v>14.777777777751611</v>
      </c>
      <c r="I23" s="1051">
        <f t="shared" si="7"/>
        <v>15.666666666747568</v>
      </c>
      <c r="J23" s="1051">
        <f t="shared" si="7"/>
        <v>16.22222222224959</v>
      </c>
      <c r="K23" s="1052">
        <f t="shared" si="7"/>
        <v>13.666666666741866</v>
      </c>
      <c r="L23" s="1052">
        <f t="shared" si="7"/>
        <v>14.555555555503622</v>
      </c>
      <c r="M23" s="1052">
        <f t="shared" si="7"/>
        <v>15.111111111017543</v>
      </c>
      <c r="N23" s="1053">
        <f t="shared" si="7"/>
        <v>10.0</v>
      </c>
      <c r="O23" s="1053">
        <f t="shared" si="7"/>
        <v>10.888888888974355</v>
      </c>
      <c r="P23" s="1053">
        <f t="shared" si="7"/>
        <v>11.44444444448898</v>
      </c>
      <c r="Q23" s="1054">
        <f t="shared" si="7"/>
        <v>9.444444444481558</v>
      </c>
      <c r="R23" s="1054">
        <f t="shared" si="7"/>
        <v>10.333333333272233</v>
      </c>
      <c r="S23" s="1054">
        <f t="shared" si="7"/>
        <v>10.888888888974355</v>
      </c>
      <c r="T23" s="1055">
        <f t="shared" si="6"/>
        <v>8.888888888957876</v>
      </c>
      <c r="U23" s="1055">
        <f t="shared" si="6"/>
        <v>9.77777777775851</v>
      </c>
      <c r="V23" s="1055">
        <f t="shared" si="6"/>
        <v>10.333333333272233</v>
      </c>
      <c r="W23" s="1056">
        <f t="shared" si="6"/>
        <v>8.333333333286452</v>
      </c>
      <c r="X23" s="1056">
        <f t="shared" si="6"/>
        <v>9.22222222224028</v>
      </c>
      <c r="Y23" s="1056">
        <f t="shared" si="6"/>
        <v>9.77777777775851</v>
      </c>
      <c r="Z23" s="1057">
        <f t="shared" si="6"/>
        <v>7.777777777763861</v>
      </c>
      <c r="AA23" s="1057">
        <f t="shared" si="6"/>
        <v>8.666666666716576</v>
      </c>
      <c r="AB23" s="1057">
        <f t="shared" si="6"/>
        <v>9.22222222224028</v>
      </c>
      <c r="AC23" s="1058">
        <f t="shared" si="6"/>
        <v>7.222222222234219</v>
      </c>
      <c r="AD23" s="1058">
        <f t="shared" si="6"/>
        <v>8.111111111057303</v>
      </c>
      <c r="AE23" s="1058">
        <f t="shared" si="4"/>
        <v>8.666666666716576</v>
      </c>
      <c r="AF23" s="1059">
        <f t="shared" si="4"/>
        <v>6.666666666695697</v>
      </c>
      <c r="AG23" s="1059">
        <f t="shared" si="4"/>
        <v>7.555555555529142</v>
      </c>
      <c r="AH23" s="1059">
        <f t="shared" si="4"/>
        <v>8.111111111057303</v>
      </c>
      <c r="AI23" s="1060">
        <f t="shared" si="4"/>
        <v>6.111111111089284</v>
      </c>
      <c r="AJ23" s="1060">
        <f t="shared" si="4"/>
        <v>7.0</v>
      </c>
      <c r="AK23" s="1060">
        <f t="shared" si="4"/>
        <v>7.555555555529142</v>
      </c>
    </row>
    <row r="24" spans="8:8" ht="15.75" customHeight="1">
      <c r="D24" s="1049">
        <f t="shared" si="5"/>
        <v>0.05833333333333368</v>
      </c>
      <c r="E24" s="1050">
        <f t="shared" si="0"/>
        <v>16.683333333333433</v>
      </c>
      <c r="F24" s="1050">
        <f t="shared" si="1"/>
        <v>17.61666666666677</v>
      </c>
      <c r="G24" s="1050">
        <f t="shared" si="1"/>
        <v>18.20000000000011</v>
      </c>
      <c r="H24" s="1051">
        <f t="shared" si="7"/>
        <v>15.516666666640512</v>
      </c>
      <c r="I24" s="1051">
        <f t="shared" si="7"/>
        <v>16.45000000008087</v>
      </c>
      <c r="J24" s="1051">
        <f t="shared" si="7"/>
        <v>17.03333333336069</v>
      </c>
      <c r="K24" s="1052">
        <f t="shared" si="7"/>
        <v>14.350000000075166</v>
      </c>
      <c r="L24" s="1052">
        <f t="shared" si="7"/>
        <v>15.283333333281423</v>
      </c>
      <c r="M24" s="1052">
        <f t="shared" si="7"/>
        <v>15.866666666573142</v>
      </c>
      <c r="N24" s="1053">
        <f t="shared" si="7"/>
        <v>10.5</v>
      </c>
      <c r="O24" s="1053">
        <f t="shared" si="7"/>
        <v>11.433333333418755</v>
      </c>
      <c r="P24" s="1053">
        <f t="shared" si="7"/>
        <v>12.016666666711178</v>
      </c>
      <c r="Q24" s="1054">
        <f t="shared" si="7"/>
        <v>9.916666666703778</v>
      </c>
      <c r="R24" s="1054">
        <f t="shared" si="7"/>
        <v>10.849999999938932</v>
      </c>
      <c r="S24" s="1054">
        <f t="shared" si="7"/>
        <v>11.433333333418755</v>
      </c>
      <c r="T24" s="1055">
        <f t="shared" si="6"/>
        <v>9.333333333402315</v>
      </c>
      <c r="U24" s="1055">
        <f t="shared" si="6"/>
        <v>10.266666666647412</v>
      </c>
      <c r="V24" s="1055">
        <f t="shared" si="6"/>
        <v>10.849999999938932</v>
      </c>
      <c r="W24" s="1056">
        <f t="shared" si="6"/>
        <v>8.749999999953122</v>
      </c>
      <c r="X24" s="1056">
        <f t="shared" si="6"/>
        <v>9.68333333335139</v>
      </c>
      <c r="Y24" s="1056">
        <f t="shared" si="6"/>
        <v>10.266666666647412</v>
      </c>
      <c r="Z24" s="1057">
        <f t="shared" si="6"/>
        <v>8.16666666665275</v>
      </c>
      <c r="AA24" s="1057">
        <f t="shared" si="6"/>
        <v>9.100000000049906</v>
      </c>
      <c r="AB24" s="1057">
        <f t="shared" si="6"/>
        <v>9.68333333335139</v>
      </c>
      <c r="AC24" s="1058">
        <f t="shared" si="6"/>
        <v>7.58333333334533</v>
      </c>
      <c r="AD24" s="1058">
        <f t="shared" si="6"/>
        <v>8.516666666612863</v>
      </c>
      <c r="AE24" s="1058">
        <f t="shared" si="4"/>
        <v>9.100000000049906</v>
      </c>
      <c r="AF24" s="1059">
        <f t="shared" si="4"/>
        <v>7.000000000029027</v>
      </c>
      <c r="AG24" s="1059">
        <f t="shared" si="4"/>
        <v>7.933333333306921</v>
      </c>
      <c r="AH24" s="1059">
        <f t="shared" si="4"/>
        <v>8.516666666612863</v>
      </c>
      <c r="AI24" s="1060">
        <f t="shared" si="4"/>
        <v>6.4166666666448435</v>
      </c>
      <c r="AJ24" s="1060">
        <f t="shared" si="4"/>
        <v>7.3500000000000005</v>
      </c>
      <c r="AK24" s="1060">
        <f t="shared" si="4"/>
        <v>7.933333333306921</v>
      </c>
    </row>
    <row r="25" spans="8:8" ht="15.75" customHeight="1">
      <c r="D25" s="1049">
        <f t="shared" si="5"/>
        <v>0.061111111111111484</v>
      </c>
      <c r="E25" s="1050">
        <f t="shared" si="0"/>
        <v>17.477777777777884</v>
      </c>
      <c r="F25" s="1050">
        <f t="shared" si="1"/>
        <v>18.45555555555567</v>
      </c>
      <c r="G25" s="1050">
        <f t="shared" si="1"/>
        <v>19.066666666666784</v>
      </c>
      <c r="H25" s="1051">
        <f t="shared" si="7"/>
        <v>16.25555555552941</v>
      </c>
      <c r="I25" s="1051">
        <f t="shared" si="7"/>
        <v>17.23333333341417</v>
      </c>
      <c r="J25" s="1051">
        <f t="shared" si="7"/>
        <v>17.84444444447179</v>
      </c>
      <c r="K25" s="1052">
        <f t="shared" si="7"/>
        <v>15.033333333408466</v>
      </c>
      <c r="L25" s="1052">
        <f t="shared" si="7"/>
        <v>16.011111111059222</v>
      </c>
      <c r="M25" s="1052">
        <f t="shared" si="7"/>
        <v>16.622222222128745</v>
      </c>
      <c r="N25" s="1053">
        <f t="shared" si="7"/>
        <v>11.0</v>
      </c>
      <c r="O25" s="1053">
        <f t="shared" si="7"/>
        <v>11.977777777863155</v>
      </c>
      <c r="P25" s="1053">
        <f t="shared" si="7"/>
        <v>12.58888888893338</v>
      </c>
      <c r="Q25" s="1054">
        <f t="shared" si="7"/>
        <v>10.388888888925978</v>
      </c>
      <c r="R25" s="1054">
        <f t="shared" si="7"/>
        <v>11.366666666605633</v>
      </c>
      <c r="S25" s="1054">
        <f t="shared" si="7"/>
        <v>11.977777777863155</v>
      </c>
      <c r="T25" s="1055">
        <f t="shared" si="6"/>
        <v>9.777777777846755</v>
      </c>
      <c r="U25" s="1055">
        <f t="shared" si="6"/>
        <v>10.755555555536311</v>
      </c>
      <c r="V25" s="1055">
        <f t="shared" si="6"/>
        <v>11.366666666605633</v>
      </c>
      <c r="W25" s="1056">
        <f t="shared" si="6"/>
        <v>9.166666666619792</v>
      </c>
      <c r="X25" s="1056">
        <f t="shared" si="6"/>
        <v>10.14444444446249</v>
      </c>
      <c r="Y25" s="1056">
        <f t="shared" si="6"/>
        <v>10.755555555536311</v>
      </c>
      <c r="Z25" s="1057">
        <f t="shared" si="6"/>
        <v>8.555555555541641</v>
      </c>
      <c r="AA25" s="1057">
        <f t="shared" si="6"/>
        <v>9.533333333383236</v>
      </c>
      <c r="AB25" s="1057">
        <f t="shared" si="6"/>
        <v>10.14444444446249</v>
      </c>
      <c r="AC25" s="1058">
        <f t="shared" si="6"/>
        <v>7.944444444456439</v>
      </c>
      <c r="AD25" s="1058">
        <f t="shared" si="6"/>
        <v>8.922222222168424</v>
      </c>
      <c r="AE25" s="1058">
        <f t="shared" si="4"/>
        <v>9.533333333383236</v>
      </c>
      <c r="AF25" s="1059">
        <f t="shared" si="4"/>
        <v>7.333333333362357</v>
      </c>
      <c r="AG25" s="1059">
        <f t="shared" si="4"/>
        <v>8.311111111084701</v>
      </c>
      <c r="AH25" s="1059">
        <f t="shared" si="4"/>
        <v>8.922222222168424</v>
      </c>
      <c r="AI25" s="1060">
        <f t="shared" si="4"/>
        <v>6.722222222200403</v>
      </c>
      <c r="AJ25" s="1060">
        <f t="shared" si="4"/>
        <v>7.700000000000001</v>
      </c>
      <c r="AK25" s="1060">
        <f t="shared" si="4"/>
        <v>8.311111111084701</v>
      </c>
    </row>
    <row r="26" spans="8:8" ht="15.75" customHeight="1">
      <c r="D26" s="1049">
        <f t="shared" si="5"/>
        <v>0.06388888888888927</v>
      </c>
      <c r="E26" s="1050">
        <f t="shared" si="0"/>
        <v>18.272222222222332</v>
      </c>
      <c r="F26" s="1050">
        <f t="shared" si="1"/>
        <v>19.29444444444456</v>
      </c>
      <c r="G26" s="1050">
        <f t="shared" si="1"/>
        <v>19.933333333333454</v>
      </c>
      <c r="H26" s="1051">
        <f t="shared" si="7"/>
        <v>16.99444444441831</v>
      </c>
      <c r="I26" s="1051">
        <f t="shared" si="7"/>
        <v>18.01666666674747</v>
      </c>
      <c r="J26" s="1051">
        <f t="shared" si="7"/>
        <v>18.65555555558289</v>
      </c>
      <c r="K26" s="1052">
        <f t="shared" si="7"/>
        <v>15.716666666741766</v>
      </c>
      <c r="L26" s="1052">
        <f t="shared" si="7"/>
        <v>16.73888888883702</v>
      </c>
      <c r="M26" s="1052">
        <f t="shared" si="7"/>
        <v>17.377777777684344</v>
      </c>
      <c r="N26" s="1053">
        <f t="shared" si="7"/>
        <v>11.5</v>
      </c>
      <c r="O26" s="1053">
        <f t="shared" si="7"/>
        <v>12.522222222307557</v>
      </c>
      <c r="P26" s="1053">
        <f t="shared" si="7"/>
        <v>13.161111111155577</v>
      </c>
      <c r="Q26" s="1054">
        <f t="shared" si="7"/>
        <v>10.861111111148178</v>
      </c>
      <c r="R26" s="1054">
        <f t="shared" si="7"/>
        <v>11.883333333272333</v>
      </c>
      <c r="S26" s="1054">
        <f t="shared" si="7"/>
        <v>12.522222222307557</v>
      </c>
      <c r="T26" s="1055">
        <f t="shared" si="6"/>
        <v>10.222222222291155</v>
      </c>
      <c r="U26" s="1055">
        <f t="shared" si="6"/>
        <v>11.244444444425211</v>
      </c>
      <c r="V26" s="1055">
        <f t="shared" si="6"/>
        <v>11.883333333272333</v>
      </c>
      <c r="W26" s="1056">
        <f t="shared" si="6"/>
        <v>9.583333333286463</v>
      </c>
      <c r="X26" s="1056">
        <f t="shared" si="6"/>
        <v>10.60555555557359</v>
      </c>
      <c r="Y26" s="1056">
        <f t="shared" si="6"/>
        <v>11.244444444425211</v>
      </c>
      <c r="Z26" s="1057">
        <f t="shared" si="6"/>
        <v>8.94444444443053</v>
      </c>
      <c r="AA26" s="1057">
        <f t="shared" si="6"/>
        <v>9.966666666716566</v>
      </c>
      <c r="AB26" s="1057">
        <f t="shared" si="6"/>
        <v>10.60555555557359</v>
      </c>
      <c r="AC26" s="1058">
        <f t="shared" si="6"/>
        <v>8.30555555556755</v>
      </c>
      <c r="AD26" s="1058">
        <f t="shared" si="6"/>
        <v>9.327777777723984</v>
      </c>
      <c r="AE26" s="1058">
        <f t="shared" si="4"/>
        <v>9.966666666716566</v>
      </c>
      <c r="AF26" s="1059">
        <f t="shared" si="4"/>
        <v>7.666666666695687</v>
      </c>
      <c r="AG26" s="1059">
        <f t="shared" si="4"/>
        <v>8.688888888862483</v>
      </c>
      <c r="AH26" s="1059">
        <f t="shared" si="4"/>
        <v>9.327777777723984</v>
      </c>
      <c r="AI26" s="1060">
        <f t="shared" si="4"/>
        <v>7.027777777755964</v>
      </c>
      <c r="AJ26" s="1060">
        <f t="shared" si="4"/>
        <v>8.05</v>
      </c>
      <c r="AK26" s="1060">
        <f t="shared" si="4"/>
        <v>8.688888888862483</v>
      </c>
    </row>
    <row r="27" spans="8:8" ht="15.75" customHeight="1">
      <c r="D27" s="1049">
        <f t="shared" si="5"/>
        <v>0.06666666666666708</v>
      </c>
      <c r="E27" s="1050">
        <f t="shared" si="0"/>
        <v>19.066666666666787</v>
      </c>
      <c r="F27" s="1050">
        <f t="shared" si="1"/>
        <v>20.133333333333457</v>
      </c>
      <c r="G27" s="1050">
        <f t="shared" si="1"/>
        <v>20.80000000000013</v>
      </c>
      <c r="H27" s="1051">
        <f t="shared" si="7"/>
        <v>17.733333333307208</v>
      </c>
      <c r="I27" s="1051">
        <f t="shared" si="7"/>
        <v>18.800000000080768</v>
      </c>
      <c r="J27" s="1051">
        <f t="shared" si="7"/>
        <v>19.46666666669399</v>
      </c>
      <c r="K27" s="1052">
        <f t="shared" si="7"/>
        <v>16.400000000075067</v>
      </c>
      <c r="L27" s="1052">
        <f t="shared" si="7"/>
        <v>17.466666666614824</v>
      </c>
      <c r="M27" s="1052">
        <f t="shared" si="7"/>
        <v>18.133333333239943</v>
      </c>
      <c r="N27" s="1053">
        <f t="shared" si="7"/>
        <v>12.0</v>
      </c>
      <c r="O27" s="1053">
        <f t="shared" si="7"/>
        <v>13.066666666751956</v>
      </c>
      <c r="P27" s="1053">
        <f t="shared" si="7"/>
        <v>13.733333333377779</v>
      </c>
      <c r="Q27" s="1054">
        <f t="shared" si="7"/>
        <v>11.333333333370378</v>
      </c>
      <c r="R27" s="1054">
        <f t="shared" si="7"/>
        <v>12.399999999939032</v>
      </c>
      <c r="S27" s="1054">
        <f t="shared" si="7"/>
        <v>13.066666666751956</v>
      </c>
      <c r="T27" s="1055">
        <f t="shared" si="6"/>
        <v>10.666666666735555</v>
      </c>
      <c r="U27" s="1055">
        <f t="shared" si="6"/>
        <v>11.73333333331411</v>
      </c>
      <c r="V27" s="1055">
        <f t="shared" si="6"/>
        <v>12.399999999939032</v>
      </c>
      <c r="W27" s="1056">
        <f t="shared" si="6"/>
        <v>9.999999999953133</v>
      </c>
      <c r="X27" s="1056">
        <f t="shared" si="6"/>
        <v>11.06666666668469</v>
      </c>
      <c r="Y27" s="1056">
        <f t="shared" si="6"/>
        <v>11.73333333331411</v>
      </c>
      <c r="Z27" s="1057">
        <f t="shared" si="6"/>
        <v>9.333333333319421</v>
      </c>
      <c r="AA27" s="1057">
        <f t="shared" si="6"/>
        <v>10.400000000049866</v>
      </c>
      <c r="AB27" s="1057">
        <f t="shared" si="6"/>
        <v>11.06666666668469</v>
      </c>
      <c r="AC27" s="1058">
        <f t="shared" si="6"/>
        <v>8.66666666667866</v>
      </c>
      <c r="AD27" s="1058">
        <f t="shared" si="6"/>
        <v>9.733333333279543</v>
      </c>
      <c r="AE27" s="1058">
        <f t="shared" si="4"/>
        <v>10.400000000049866</v>
      </c>
      <c r="AF27" s="1059">
        <f t="shared" si="4"/>
        <v>8.000000000029019</v>
      </c>
      <c r="AG27" s="1059">
        <f t="shared" si="4"/>
        <v>9.066666666640263</v>
      </c>
      <c r="AH27" s="1059">
        <f t="shared" si="4"/>
        <v>9.733333333279543</v>
      </c>
      <c r="AI27" s="1060">
        <f t="shared" si="4"/>
        <v>7.333333333311524</v>
      </c>
      <c r="AJ27" s="1060">
        <f t="shared" si="4"/>
        <v>8.4</v>
      </c>
      <c r="AK27" s="1060">
        <f t="shared" si="4"/>
        <v>9.066666666640263</v>
      </c>
    </row>
    <row r="28" spans="8:8" ht="15.75" customHeight="1">
      <c r="D28" s="1049">
        <f t="shared" si="5"/>
        <v>0.06944444444444488</v>
      </c>
      <c r="E28" s="1050">
        <f t="shared" si="0"/>
        <v>19.861111111111235</v>
      </c>
      <c r="F28" s="1050">
        <f t="shared" si="1"/>
        <v>20.972222222222353</v>
      </c>
      <c r="G28" s="1050">
        <f t="shared" si="1"/>
        <v>21.666666666666803</v>
      </c>
      <c r="H28" s="1051">
        <f t="shared" si="7"/>
        <v>18.47222222219611</v>
      </c>
      <c r="I28" s="1051">
        <f t="shared" si="7"/>
        <v>19.583333333414068</v>
      </c>
      <c r="J28" s="1051">
        <f t="shared" si="7"/>
        <v>20.27777777780509</v>
      </c>
      <c r="K28" s="1052">
        <f t="shared" si="7"/>
        <v>17.083333333408365</v>
      </c>
      <c r="L28" s="1052">
        <f t="shared" si="7"/>
        <v>18.194444444392623</v>
      </c>
      <c r="M28" s="1052">
        <f t="shared" si="7"/>
        <v>18.888888888795545</v>
      </c>
      <c r="N28" s="1053">
        <f t="shared" si="7"/>
        <v>12.5</v>
      </c>
      <c r="O28" s="1053">
        <f t="shared" si="7"/>
        <v>13.611111111196356</v>
      </c>
      <c r="P28" s="1053">
        <f t="shared" si="7"/>
        <v>14.305555555599977</v>
      </c>
      <c r="Q28" s="1054">
        <f t="shared" si="7"/>
        <v>11.805555555592578</v>
      </c>
      <c r="R28" s="1054">
        <f t="shared" si="7"/>
        <v>12.916666666605732</v>
      </c>
      <c r="S28" s="1054">
        <f t="shared" si="7"/>
        <v>13.611111111196356</v>
      </c>
      <c r="T28" s="1055">
        <f t="shared" si="6"/>
        <v>11.111111111179955</v>
      </c>
      <c r="U28" s="1055">
        <f t="shared" si="6"/>
        <v>12.222222222203012</v>
      </c>
      <c r="V28" s="1055">
        <f t="shared" si="6"/>
        <v>12.916666666605732</v>
      </c>
      <c r="W28" s="1056">
        <f t="shared" si="6"/>
        <v>10.416666666619832</v>
      </c>
      <c r="X28" s="1056">
        <f t="shared" si="6"/>
        <v>11.527777777795789</v>
      </c>
      <c r="Y28" s="1056">
        <f t="shared" si="6"/>
        <v>12.222222222203012</v>
      </c>
      <c r="Z28" s="1057">
        <f t="shared" si="6"/>
        <v>9.72222222220831</v>
      </c>
      <c r="AA28" s="1057">
        <f t="shared" si="6"/>
        <v>10.833333333383166</v>
      </c>
      <c r="AB28" s="1057">
        <f t="shared" si="6"/>
        <v>11.527777777795789</v>
      </c>
      <c r="AC28" s="1058">
        <f t="shared" si="6"/>
        <v>9.027777777789769</v>
      </c>
      <c r="AD28" s="1058">
        <f t="shared" si="6"/>
        <v>10.138888888835144</v>
      </c>
      <c r="AE28" s="1058">
        <f t="shared" si="4"/>
        <v>10.833333333383166</v>
      </c>
      <c r="AF28" s="1059">
        <f t="shared" si="4"/>
        <v>8.333333333362347</v>
      </c>
      <c r="AG28" s="1059">
        <f t="shared" si="4"/>
        <v>9.444444444418043</v>
      </c>
      <c r="AH28" s="1059">
        <f t="shared" si="4"/>
        <v>10.138888888835144</v>
      </c>
      <c r="AI28" s="1060">
        <f t="shared" si="4"/>
        <v>7.638888888867084</v>
      </c>
      <c r="AJ28" s="1060">
        <f t="shared" si="4"/>
        <v>8.75</v>
      </c>
      <c r="AK28" s="1060">
        <f t="shared" si="4"/>
        <v>9.444444444418043</v>
      </c>
    </row>
    <row r="29" spans="8:8" ht="15.75" customHeight="1">
      <c r="D29" s="1049">
        <f t="shared" si="5"/>
        <v>0.07222222222222269</v>
      </c>
      <c r="E29" s="1050">
        <f t="shared" si="0"/>
        <v>20.65555555555569</v>
      </c>
      <c r="F29" s="1050">
        <f t="shared" si="1"/>
        <v>21.811111111111252</v>
      </c>
      <c r="G29" s="1050">
        <f t="shared" si="1"/>
        <v>22.533333333333477</v>
      </c>
      <c r="H29" s="1051">
        <f t="shared" si="7"/>
        <v>19.21111111108501</v>
      </c>
      <c r="I29" s="1051">
        <f t="shared" si="7"/>
        <v>20.366666666747367</v>
      </c>
      <c r="J29" s="1051">
        <f t="shared" si="7"/>
        <v>21.08888888891619</v>
      </c>
      <c r="K29" s="1052">
        <f t="shared" si="7"/>
        <v>17.766666666741667</v>
      </c>
      <c r="L29" s="1052">
        <f t="shared" si="7"/>
        <v>18.922222222170422</v>
      </c>
      <c r="M29" s="1052">
        <f t="shared" si="7"/>
        <v>19.644444444351144</v>
      </c>
      <c r="N29" s="1053">
        <f t="shared" si="7"/>
        <v>13.0</v>
      </c>
      <c r="O29" s="1053">
        <f t="shared" si="7"/>
        <v>14.155555555640756</v>
      </c>
      <c r="P29" s="1053">
        <f t="shared" si="7"/>
        <v>14.877777777822178</v>
      </c>
      <c r="Q29" s="1054">
        <f t="shared" si="7"/>
        <v>12.277777777814778</v>
      </c>
      <c r="R29" s="1054">
        <f t="shared" si="7"/>
        <v>13.433333333272433</v>
      </c>
      <c r="S29" s="1054">
        <f t="shared" si="7"/>
        <v>14.155555555640756</v>
      </c>
      <c r="T29" s="1055">
        <f t="shared" si="6"/>
        <v>11.555555555624355</v>
      </c>
      <c r="U29" s="1055">
        <f t="shared" si="6"/>
        <v>12.711111111091911</v>
      </c>
      <c r="V29" s="1055">
        <f t="shared" si="6"/>
        <v>13.433333333272433</v>
      </c>
      <c r="W29" s="1056">
        <f t="shared" si="6"/>
        <v>10.833333333286532</v>
      </c>
      <c r="X29" s="1056">
        <f t="shared" si="6"/>
        <v>11.988888888906889</v>
      </c>
      <c r="Y29" s="1056">
        <f t="shared" si="6"/>
        <v>12.711111111091911</v>
      </c>
      <c r="Z29" s="1057">
        <f t="shared" si="6"/>
        <v>10.11111111109721</v>
      </c>
      <c r="AA29" s="1057">
        <f t="shared" si="6"/>
        <v>11.266666666716466</v>
      </c>
      <c r="AB29" s="1057">
        <f t="shared" si="6"/>
        <v>11.988888888906889</v>
      </c>
      <c r="AC29" s="1058">
        <f t="shared" si="6"/>
        <v>9.38888888890088</v>
      </c>
      <c r="AD29" s="1058">
        <f t="shared" si="6"/>
        <v>10.544444444390743</v>
      </c>
      <c r="AE29" s="1058">
        <f t="shared" si="4"/>
        <v>11.266666666716466</v>
      </c>
      <c r="AF29" s="1059">
        <f t="shared" si="4"/>
        <v>8.666666666695678</v>
      </c>
      <c r="AG29" s="1059">
        <f t="shared" si="4"/>
        <v>9.822222222195823</v>
      </c>
      <c r="AH29" s="1059">
        <f t="shared" si="4"/>
        <v>10.544444444390743</v>
      </c>
      <c r="AI29" s="1060">
        <f t="shared" si="4"/>
        <v>7.944444444422644</v>
      </c>
      <c r="AJ29" s="1060">
        <f t="shared" si="4"/>
        <v>9.1</v>
      </c>
      <c r="AK29" s="1060">
        <f t="shared" si="4"/>
        <v>9.822222222195823</v>
      </c>
    </row>
    <row r="30" spans="8:8" ht="15.75" customHeight="1">
      <c r="D30" s="1049">
        <f t="shared" si="5"/>
        <v>0.07500000000000048</v>
      </c>
      <c r="E30" s="1050">
        <f t="shared" si="0"/>
        <v>21.450000000000138</v>
      </c>
      <c r="F30" s="1050">
        <f t="shared" si="1"/>
        <v>22.650000000000144</v>
      </c>
      <c r="G30" s="1050">
        <f t="shared" si="1"/>
        <v>23.40000000000015</v>
      </c>
      <c r="H30" s="1051">
        <f t="shared" si="7"/>
        <v>19.949999999973908</v>
      </c>
      <c r="I30" s="1051">
        <f t="shared" si="7"/>
        <v>21.15000000008067</v>
      </c>
      <c r="J30" s="1051">
        <f t="shared" si="7"/>
        <v>21.90000000002729</v>
      </c>
      <c r="K30" s="1052">
        <f t="shared" si="7"/>
        <v>18.450000000074965</v>
      </c>
      <c r="L30" s="1052">
        <f t="shared" si="7"/>
        <v>19.64999999994822</v>
      </c>
      <c r="M30" s="1052">
        <f t="shared" si="7"/>
        <v>20.399999999906743</v>
      </c>
      <c r="N30" s="1053">
        <f t="shared" si="7"/>
        <v>13.5</v>
      </c>
      <c r="O30" s="1053">
        <f t="shared" si="7"/>
        <v>14.700000000085156</v>
      </c>
      <c r="P30" s="1053">
        <f t="shared" si="7"/>
        <v>15.450000000044376</v>
      </c>
      <c r="Q30" s="1054">
        <f t="shared" si="7"/>
        <v>12.750000000036978</v>
      </c>
      <c r="R30" s="1054">
        <f t="shared" si="7"/>
        <v>13.949999999939132</v>
      </c>
      <c r="S30" s="1054">
        <f t="shared" si="7"/>
        <v>14.700000000085156</v>
      </c>
      <c r="T30" s="1055">
        <f t="shared" si="6"/>
        <v>12.000000000068756</v>
      </c>
      <c r="U30" s="1055">
        <f t="shared" si="6"/>
        <v>13.199999999980811</v>
      </c>
      <c r="V30" s="1055">
        <f t="shared" si="6"/>
        <v>13.949999999939132</v>
      </c>
      <c r="W30" s="1056">
        <f t="shared" si="6"/>
        <v>11.249999999953232</v>
      </c>
      <c r="X30" s="1056">
        <f t="shared" si="6"/>
        <v>12.45000000001799</v>
      </c>
      <c r="Y30" s="1056">
        <f t="shared" si="6"/>
        <v>13.199999999980811</v>
      </c>
      <c r="Z30" s="1057">
        <f t="shared" si="6"/>
        <v>10.49999999998611</v>
      </c>
      <c r="AA30" s="1057">
        <f t="shared" si="6"/>
        <v>11.700000000049766</v>
      </c>
      <c r="AB30" s="1057">
        <f t="shared" si="6"/>
        <v>12.45000000001799</v>
      </c>
      <c r="AC30" s="1058">
        <f t="shared" si="6"/>
        <v>9.750000000011989</v>
      </c>
      <c r="AD30" s="1058">
        <f t="shared" si="6"/>
        <v>10.949999999946343</v>
      </c>
      <c r="AE30" s="1058">
        <f t="shared" si="4"/>
        <v>11.700000000049766</v>
      </c>
      <c r="AF30" s="1059">
        <f t="shared" si="4"/>
        <v>9.000000000029008</v>
      </c>
      <c r="AG30" s="1059">
        <f t="shared" si="4"/>
        <v>10.199999999973622</v>
      </c>
      <c r="AH30" s="1059">
        <f t="shared" si="4"/>
        <v>10.949999999946343</v>
      </c>
      <c r="AI30" s="1060">
        <f t="shared" si="4"/>
        <v>8.249999999978195</v>
      </c>
      <c r="AJ30" s="1060">
        <f t="shared" si="4"/>
        <v>9.450000000000001</v>
      </c>
      <c r="AK30" s="1060">
        <f t="shared" si="4"/>
        <v>10.199999999973622</v>
      </c>
    </row>
    <row r="31" spans="8:8" ht="15.75" customHeight="1">
      <c r="D31" s="1049">
        <f t="shared" si="5"/>
        <v>0.07777777777777828</v>
      </c>
      <c r="E31" s="1050">
        <f t="shared" si="0"/>
        <v>22.24444444444459</v>
      </c>
      <c r="F31" s="1050">
        <f t="shared" si="1"/>
        <v>23.48888888888904</v>
      </c>
      <c r="G31" s="1050">
        <f t="shared" si="1"/>
        <v>24.266666666666822</v>
      </c>
      <c r="H31" s="1051">
        <f t="shared" si="7"/>
        <v>20.68888888886281</v>
      </c>
      <c r="I31" s="1051">
        <f t="shared" si="7"/>
        <v>21.93333333341397</v>
      </c>
      <c r="J31" s="1051">
        <f t="shared" si="7"/>
        <v>22.71111111113839</v>
      </c>
      <c r="K31" s="1052">
        <f t="shared" si="7"/>
        <v>19.133333333408267</v>
      </c>
      <c r="L31" s="1052">
        <f t="shared" si="7"/>
        <v>20.37777777772602</v>
      </c>
      <c r="M31" s="1052">
        <f t="shared" si="7"/>
        <v>21.155555555462342</v>
      </c>
      <c r="N31" s="1053">
        <f t="shared" si="7"/>
        <v>14.0</v>
      </c>
      <c r="O31" s="1053">
        <f t="shared" si="7"/>
        <v>15.244444444529556</v>
      </c>
      <c r="P31" s="1053">
        <f t="shared" si="7"/>
        <v>16.022222222266578</v>
      </c>
      <c r="Q31" s="1054">
        <f t="shared" si="7"/>
        <v>13.222222222259179</v>
      </c>
      <c r="R31" s="1054">
        <f t="shared" si="7"/>
        <v>14.466666666605832</v>
      </c>
      <c r="S31" s="1054">
        <f t="shared" si="7"/>
        <v>15.244444444529556</v>
      </c>
      <c r="T31" s="1055">
        <f t="shared" si="6"/>
        <v>12.444444444513156</v>
      </c>
      <c r="U31" s="1055">
        <f t="shared" si="6"/>
        <v>13.68888888886971</v>
      </c>
      <c r="V31" s="1055">
        <f t="shared" si="6"/>
        <v>14.466666666605832</v>
      </c>
      <c r="W31" s="1056">
        <f t="shared" si="6"/>
        <v>11.666666666619932</v>
      </c>
      <c r="X31" s="1056">
        <f t="shared" si="6"/>
        <v>12.91111111112909</v>
      </c>
      <c r="Y31" s="1056">
        <f t="shared" si="6"/>
        <v>13.68888888886971</v>
      </c>
      <c r="Z31" s="1057">
        <f t="shared" si="6"/>
        <v>10.88888888887501</v>
      </c>
      <c r="AA31" s="1057">
        <f t="shared" si="6"/>
        <v>12.133333333383067</v>
      </c>
      <c r="AB31" s="1057">
        <f t="shared" si="6"/>
        <v>12.91111111112909</v>
      </c>
      <c r="AC31" s="1058">
        <f t="shared" si="6"/>
        <v>10.111111111123089</v>
      </c>
      <c r="AD31" s="1058">
        <f t="shared" si="6"/>
        <v>11.355555555501944</v>
      </c>
      <c r="AE31" s="1058">
        <f t="shared" si="4"/>
        <v>12.133333333383067</v>
      </c>
      <c r="AF31" s="1059">
        <f t="shared" si="4"/>
        <v>9.333333333362338</v>
      </c>
      <c r="AG31" s="1059">
        <f t="shared" si="4"/>
        <v>10.577777777751422</v>
      </c>
      <c r="AH31" s="1059">
        <f t="shared" si="4"/>
        <v>11.355555555501944</v>
      </c>
      <c r="AI31" s="1060">
        <f t="shared" si="4"/>
        <v>8.555555555533745</v>
      </c>
      <c r="AJ31" s="1060">
        <f t="shared" si="4"/>
        <v>9.8</v>
      </c>
      <c r="AK31" s="1060">
        <f t="shared" si="4"/>
        <v>10.577777777751422</v>
      </c>
    </row>
    <row r="32" spans="8:8" ht="15.75" customHeight="1">
      <c r="D32" s="1049">
        <f t="shared" si="5"/>
        <v>0.08055555555555609</v>
      </c>
      <c r="E32" s="1050">
        <f t="shared" si="0"/>
        <v>23.03888888888904</v>
      </c>
      <c r="F32" s="1050">
        <f t="shared" si="1"/>
        <v>24.32777777777794</v>
      </c>
      <c r="G32" s="1050">
        <f t="shared" si="1"/>
        <v>25.1333333333335</v>
      </c>
      <c r="H32" s="1051">
        <f t="shared" si="7"/>
        <v>21.42777777775171</v>
      </c>
      <c r="I32" s="1051">
        <f t="shared" si="7"/>
        <v>22.71666666674727</v>
      </c>
      <c r="J32" s="1051">
        <f t="shared" si="7"/>
        <v>23.52222222224949</v>
      </c>
      <c r="K32" s="1052">
        <f t="shared" si="7"/>
        <v>19.816666666741565</v>
      </c>
      <c r="L32" s="1052">
        <f t="shared" si="7"/>
        <v>21.105555555503823</v>
      </c>
      <c r="M32" s="1052">
        <f t="shared" si="7"/>
        <v>21.911111111017945</v>
      </c>
      <c r="N32" s="1053">
        <f t="shared" si="7"/>
        <v>14.5</v>
      </c>
      <c r="O32" s="1053">
        <f t="shared" si="7"/>
        <v>15.788888888973954</v>
      </c>
      <c r="P32" s="1053">
        <f t="shared" si="7"/>
        <v>16.594444444488776</v>
      </c>
      <c r="Q32" s="1054">
        <f t="shared" si="7"/>
        <v>13.694444444481379</v>
      </c>
      <c r="R32" s="1054">
        <f t="shared" si="7"/>
        <v>14.983333333272533</v>
      </c>
      <c r="S32" s="1054">
        <f t="shared" si="7"/>
        <v>15.788888888973954</v>
      </c>
      <c r="T32" s="1055">
        <f t="shared" si="6"/>
        <v>12.888888888957556</v>
      </c>
      <c r="U32" s="1055">
        <f t="shared" si="6"/>
        <v>14.17777777775861</v>
      </c>
      <c r="V32" s="1055">
        <f t="shared" si="6"/>
        <v>14.983333333272533</v>
      </c>
      <c r="W32" s="1056">
        <f t="shared" si="6"/>
        <v>12.083333333286632</v>
      </c>
      <c r="X32" s="1056">
        <f t="shared" si="6"/>
        <v>13.37222222224019</v>
      </c>
      <c r="Y32" s="1056">
        <f t="shared" si="6"/>
        <v>14.17777777775861</v>
      </c>
      <c r="Z32" s="1057">
        <f t="shared" si="6"/>
        <v>11.27777777776391</v>
      </c>
      <c r="AA32" s="1057">
        <f t="shared" si="6"/>
        <v>12.566666666716367</v>
      </c>
      <c r="AB32" s="1057">
        <f t="shared" si="6"/>
        <v>13.37222222224019</v>
      </c>
      <c r="AC32" s="1058">
        <f t="shared" si="6"/>
        <v>10.472222222234189</v>
      </c>
      <c r="AD32" s="1058">
        <f t="shared" si="6"/>
        <v>11.761111111057543</v>
      </c>
      <c r="AE32" s="1058">
        <f t="shared" si="4"/>
        <v>12.566666666716367</v>
      </c>
      <c r="AF32" s="1059">
        <f t="shared" si="4"/>
        <v>9.666666666695669</v>
      </c>
      <c r="AG32" s="1059">
        <f t="shared" si="4"/>
        <v>10.955555555529221</v>
      </c>
      <c r="AH32" s="1059">
        <f t="shared" si="4"/>
        <v>11.761111111057543</v>
      </c>
      <c r="AI32" s="1060">
        <f t="shared" si="4"/>
        <v>8.861111111089295</v>
      </c>
      <c r="AJ32" s="1060">
        <f t="shared" si="4"/>
        <v>10.15</v>
      </c>
      <c r="AK32" s="1060">
        <f t="shared" si="4"/>
        <v>10.955555555529221</v>
      </c>
    </row>
    <row r="33" spans="8:8" ht="15.75" customHeight="1">
      <c r="D33" s="1049">
        <f t="shared" si="5"/>
        <v>0.08333333333333388</v>
      </c>
      <c r="E33" s="1050">
        <f t="shared" si="0"/>
        <v>23.833333333333492</v>
      </c>
      <c r="F33" s="1050">
        <f t="shared" si="1"/>
        <v>25.16666666666683</v>
      </c>
      <c r="G33" s="1050">
        <f t="shared" si="1"/>
        <v>26.00000000000017</v>
      </c>
      <c r="H33" s="1051">
        <f t="shared" si="7"/>
        <v>22.16666666664061</v>
      </c>
      <c r="I33" s="1051">
        <f t="shared" si="7"/>
        <v>23.50000000008057</v>
      </c>
      <c r="J33" s="1051">
        <f t="shared" si="7"/>
        <v>24.33333333336059</v>
      </c>
      <c r="K33" s="1052">
        <f t="shared" si="7"/>
        <v>20.500000000074866</v>
      </c>
      <c r="L33" s="1052">
        <f t="shared" si="7"/>
        <v>21.833333333281622</v>
      </c>
      <c r="M33" s="1052">
        <f t="shared" si="7"/>
        <v>22.666666666573544</v>
      </c>
      <c r="N33" s="1053">
        <f t="shared" si="7"/>
        <v>15.0</v>
      </c>
      <c r="O33" s="1053">
        <f t="shared" si="7"/>
        <v>16.333333333418356</v>
      </c>
      <c r="P33" s="1053">
        <f t="shared" si="7"/>
        <v>17.166666666710977</v>
      </c>
      <c r="Q33" s="1054">
        <f t="shared" si="7"/>
        <v>14.166666666703579</v>
      </c>
      <c r="R33" s="1054">
        <f t="shared" si="7"/>
        <v>15.499999999939233</v>
      </c>
      <c r="S33" s="1054">
        <f t="shared" si="7"/>
        <v>16.333333333418356</v>
      </c>
      <c r="T33" s="1055">
        <f t="shared" si="6"/>
        <v>13.333333333401955</v>
      </c>
      <c r="U33" s="1055">
        <f t="shared" si="6"/>
        <v>14.666666666647512</v>
      </c>
      <c r="V33" s="1055">
        <f t="shared" si="6"/>
        <v>15.499999999939233</v>
      </c>
      <c r="W33" s="1056">
        <f t="shared" si="6"/>
        <v>12.499999999953332</v>
      </c>
      <c r="X33" s="1056">
        <f t="shared" si="6"/>
        <v>13.83333333335129</v>
      </c>
      <c r="Y33" s="1056">
        <f t="shared" si="6"/>
        <v>14.666666666647512</v>
      </c>
      <c r="Z33" s="1057">
        <f t="shared" si="6"/>
        <v>11.66666666665281</v>
      </c>
      <c r="AA33" s="1057">
        <f t="shared" si="6"/>
        <v>13.000000000049667</v>
      </c>
      <c r="AB33" s="1057">
        <f t="shared" si="6"/>
        <v>13.83333333335129</v>
      </c>
      <c r="AC33" s="1058">
        <f t="shared" si="6"/>
        <v>10.833333333345289</v>
      </c>
      <c r="AD33" s="1058">
        <f t="shared" si="6"/>
        <v>12.166666666613143</v>
      </c>
      <c r="AE33" s="1058">
        <f t="shared" si="4"/>
        <v>13.000000000049667</v>
      </c>
      <c r="AF33" s="1059">
        <f t="shared" si="4"/>
        <v>10.000000000028967</v>
      </c>
      <c r="AG33" s="1059">
        <f t="shared" si="4"/>
        <v>11.333333333307023</v>
      </c>
      <c r="AH33" s="1059">
        <f t="shared" si="4"/>
        <v>12.166666666613143</v>
      </c>
      <c r="AI33" s="1060">
        <f t="shared" si="4"/>
        <v>9.166666666644845</v>
      </c>
      <c r="AJ33" s="1060">
        <f t="shared" si="4"/>
        <v>10.5</v>
      </c>
      <c r="AK33" s="1060">
        <f t="shared" si="4"/>
        <v>11.333333333307023</v>
      </c>
    </row>
    <row r="34" spans="8:8" ht="15.75" customHeight="1">
      <c r="D34" s="1049">
        <f t="shared" si="5"/>
        <v>0.08611111111111168</v>
      </c>
      <c r="E34" s="1050">
        <f t="shared" si="0"/>
        <v>24.62777777777794</v>
      </c>
      <c r="F34" s="1050">
        <f t="shared" si="1"/>
        <v>26.005555555555727</v>
      </c>
      <c r="G34" s="1050">
        <f t="shared" si="1"/>
        <v>26.866666666666845</v>
      </c>
      <c r="H34" s="1051">
        <f t="shared" si="7"/>
        <v>22.90555555552951</v>
      </c>
      <c r="I34" s="1051">
        <f t="shared" si="7"/>
        <v>24.283333333413868</v>
      </c>
      <c r="J34" s="1051">
        <f t="shared" si="7"/>
        <v>25.14444444447169</v>
      </c>
      <c r="K34" s="1052">
        <f t="shared" si="7"/>
        <v>21.183333333408168</v>
      </c>
      <c r="L34" s="1052">
        <f t="shared" si="7"/>
        <v>22.56111111105942</v>
      </c>
      <c r="M34" s="1052">
        <f t="shared" si="7"/>
        <v>23.422222222129143</v>
      </c>
      <c r="N34" s="1053">
        <f t="shared" si="7"/>
        <v>15.5</v>
      </c>
      <c r="O34" s="1053">
        <f t="shared" si="7"/>
        <v>16.877777777862757</v>
      </c>
      <c r="P34" s="1053">
        <f t="shared" si="7"/>
        <v>17.73888888893318</v>
      </c>
      <c r="Q34" s="1054">
        <f t="shared" si="7"/>
        <v>14.638888888925779</v>
      </c>
      <c r="R34" s="1054">
        <f t="shared" si="7"/>
        <v>16.016666666605936</v>
      </c>
      <c r="S34" s="1054">
        <f t="shared" si="7"/>
        <v>16.877777777862757</v>
      </c>
      <c r="T34" s="1055">
        <f t="shared" si="6"/>
        <v>13.777777777846355</v>
      </c>
      <c r="U34" s="1055">
        <f t="shared" si="6"/>
        <v>15.155555555536411</v>
      </c>
      <c r="V34" s="1055">
        <f t="shared" si="6"/>
        <v>16.016666666605936</v>
      </c>
      <c r="W34" s="1056">
        <f t="shared" si="6"/>
        <v>12.916666666620031</v>
      </c>
      <c r="X34" s="1056">
        <f t="shared" si="6"/>
        <v>14.294444444462389</v>
      </c>
      <c r="Y34" s="1056">
        <f t="shared" si="6"/>
        <v>15.155555555536411</v>
      </c>
      <c r="Z34" s="1057">
        <f t="shared" si="6"/>
        <v>12.05555555554171</v>
      </c>
      <c r="AA34" s="1057">
        <f t="shared" si="6"/>
        <v>13.433333333382967</v>
      </c>
      <c r="AB34" s="1057">
        <f t="shared" si="6"/>
        <v>14.294444444462389</v>
      </c>
      <c r="AC34" s="1058">
        <f t="shared" si="6"/>
        <v>11.194444444456389</v>
      </c>
      <c r="AD34" s="1058">
        <f t="shared" si="6"/>
        <v>12.572222222168744</v>
      </c>
      <c r="AE34" s="1058">
        <f t="shared" si="4"/>
        <v>13.433333333382967</v>
      </c>
      <c r="AF34" s="1059">
        <f t="shared" si="4"/>
        <v>10.333333333362267</v>
      </c>
      <c r="AG34" s="1059">
        <f t="shared" si="4"/>
        <v>11.711111111084822</v>
      </c>
      <c r="AH34" s="1059">
        <f t="shared" si="4"/>
        <v>12.572222222168744</v>
      </c>
      <c r="AI34" s="1060">
        <f t="shared" si="4"/>
        <v>9.472222222200395</v>
      </c>
      <c r="AJ34" s="1060">
        <f t="shared" si="4"/>
        <v>10.85</v>
      </c>
      <c r="AK34" s="1060">
        <f t="shared" si="4"/>
        <v>11.711111111084822</v>
      </c>
    </row>
    <row r="35" spans="8:8" ht="15.75" customHeight="1">
      <c r="D35" s="1049">
        <f t="shared" si="5"/>
        <v>0.08888888888888948</v>
      </c>
      <c r="E35" s="1050">
        <f t="shared" si="0"/>
        <v>25.42222222222239</v>
      </c>
      <c r="F35" s="1050">
        <f t="shared" si="1"/>
        <v>26.844444444444623</v>
      </c>
      <c r="G35" s="1050">
        <f t="shared" si="1"/>
        <v>27.733333333333515</v>
      </c>
      <c r="H35" s="1051">
        <f t="shared" si="7"/>
        <v>23.644444444418408</v>
      </c>
      <c r="I35" s="1051">
        <f t="shared" si="7"/>
        <v>25.066666666747167</v>
      </c>
      <c r="J35" s="1051">
        <f t="shared" si="7"/>
        <v>25.95555555558279</v>
      </c>
      <c r="K35" s="1052">
        <f t="shared" si="7"/>
        <v>21.866666666741466</v>
      </c>
      <c r="L35" s="1052">
        <f t="shared" si="7"/>
        <v>23.28888888883722</v>
      </c>
      <c r="M35" s="1052">
        <f t="shared" si="7"/>
        <v>24.177777777684742</v>
      </c>
      <c r="N35" s="1053">
        <f t="shared" si="7"/>
        <v>16.0</v>
      </c>
      <c r="O35" s="1053">
        <f t="shared" si="7"/>
        <v>17.422222222307155</v>
      </c>
      <c r="P35" s="1053">
        <f t="shared" si="7"/>
        <v>18.311111111155377</v>
      </c>
      <c r="Q35" s="1054">
        <f t="shared" si="7"/>
        <v>15.111111111147979</v>
      </c>
      <c r="R35" s="1054">
        <f t="shared" si="7"/>
        <v>16.533333333272633</v>
      </c>
      <c r="S35" s="1054">
        <f t="shared" si="7"/>
        <v>17.422222222307155</v>
      </c>
      <c r="T35" s="1055">
        <f t="shared" si="6"/>
        <v>14.222222222290755</v>
      </c>
      <c r="U35" s="1055">
        <f t="shared" si="6"/>
        <v>15.644444444425313</v>
      </c>
      <c r="V35" s="1055">
        <f t="shared" si="6"/>
        <v>16.533333333272633</v>
      </c>
      <c r="W35" s="1056">
        <f t="shared" si="6"/>
        <v>13.333333333286733</v>
      </c>
      <c r="X35" s="1056">
        <f t="shared" si="6"/>
        <v>14.75555555557349</v>
      </c>
      <c r="Y35" s="1056">
        <f t="shared" si="6"/>
        <v>15.644444444425313</v>
      </c>
      <c r="Z35" s="1057">
        <f t="shared" si="6"/>
        <v>12.44444444443061</v>
      </c>
      <c r="AA35" s="1057">
        <f t="shared" si="6"/>
        <v>13.866666666716267</v>
      </c>
      <c r="AB35" s="1057">
        <f t="shared" si="6"/>
        <v>14.75555555557349</v>
      </c>
      <c r="AC35" s="1058">
        <f t="shared" si="6"/>
        <v>11.555555555567489</v>
      </c>
      <c r="AD35" s="1058">
        <f t="shared" si="6"/>
        <v>12.977777777724343</v>
      </c>
      <c r="AE35" s="1058">
        <f t="shared" si="4"/>
        <v>13.866666666716267</v>
      </c>
      <c r="AF35" s="1059">
        <f t="shared" si="4"/>
        <v>10.666666666695567</v>
      </c>
      <c r="AG35" s="1059">
        <f t="shared" si="4"/>
        <v>12.088888888862622</v>
      </c>
      <c r="AH35" s="1059">
        <f t="shared" si="4"/>
        <v>12.977777777724343</v>
      </c>
      <c r="AI35" s="1060">
        <f t="shared" si="4"/>
        <v>9.777777777755945</v>
      </c>
      <c r="AJ35" s="1060">
        <f t="shared" si="4"/>
        <v>11.200000000000001</v>
      </c>
      <c r="AK35" s="1060">
        <f t="shared" si="4"/>
        <v>12.088888888862622</v>
      </c>
    </row>
    <row r="36" spans="8:8" ht="15.75" customHeight="1">
      <c r="D36" s="1049">
        <f t="shared" si="5"/>
        <v>0.09166666666666728</v>
      </c>
      <c r="E36" s="1050">
        <f t="shared" si="0"/>
        <v>26.216666666666843</v>
      </c>
      <c r="F36" s="1050">
        <f t="shared" si="1"/>
        <v>27.68333333333352</v>
      </c>
      <c r="G36" s="1050">
        <f t="shared" si="1"/>
        <v>28.600000000000193</v>
      </c>
      <c r="H36" s="1051">
        <f t="shared" si="8" ref="H36:T52">H37-(H$363/360)</f>
        <v>24.38333333330731</v>
      </c>
      <c r="I36" s="1051">
        <f t="shared" si="8"/>
        <v>25.850000000080467</v>
      </c>
      <c r="J36" s="1051">
        <f t="shared" si="8"/>
        <v>26.76666666669389</v>
      </c>
      <c r="K36" s="1052">
        <f t="shared" si="8"/>
        <v>22.550000000074768</v>
      </c>
      <c r="L36" s="1052">
        <f t="shared" si="8"/>
        <v>24.016666666615023</v>
      </c>
      <c r="M36" s="1052">
        <f t="shared" si="8"/>
        <v>24.933333333240345</v>
      </c>
      <c r="N36" s="1053">
        <f t="shared" si="8"/>
        <v>16.5</v>
      </c>
      <c r="O36" s="1053">
        <f t="shared" si="8"/>
        <v>17.966666666751557</v>
      </c>
      <c r="P36" s="1053">
        <f t="shared" si="8"/>
        <v>18.88333333337758</v>
      </c>
      <c r="Q36" s="1054">
        <f t="shared" si="8"/>
        <v>15.583333333370177</v>
      </c>
      <c r="R36" s="1054">
        <f t="shared" si="8"/>
        <v>17.049999999939335</v>
      </c>
      <c r="S36" s="1054">
        <f t="shared" si="8"/>
        <v>17.966666666751557</v>
      </c>
      <c r="T36" s="1055">
        <f t="shared" si="6"/>
        <v>14.666666666735155</v>
      </c>
      <c r="U36" s="1055">
        <f t="shared" si="6"/>
        <v>16.13333333331421</v>
      </c>
      <c r="V36" s="1055">
        <f t="shared" si="6"/>
        <v>17.049999999939335</v>
      </c>
      <c r="W36" s="1056">
        <f t="shared" si="6"/>
        <v>13.749999999953433</v>
      </c>
      <c r="X36" s="1056">
        <f t="shared" si="6"/>
        <v>15.21666666668459</v>
      </c>
      <c r="Y36" s="1056">
        <f t="shared" si="6"/>
        <v>16.13333333331421</v>
      </c>
      <c r="Z36" s="1057">
        <f t="shared" si="6"/>
        <v>12.83333333331951</v>
      </c>
      <c r="AA36" s="1057">
        <f t="shared" si="6"/>
        <v>14.300000000049566</v>
      </c>
      <c r="AB36" s="1057">
        <f t="shared" si="6"/>
        <v>15.21666666668459</v>
      </c>
      <c r="AC36" s="1058">
        <f t="shared" si="6"/>
        <v>11.916666666678589</v>
      </c>
      <c r="AD36" s="1058">
        <f t="shared" si="6"/>
        <v>13.383333333279943</v>
      </c>
      <c r="AE36" s="1058">
        <f t="shared" si="4"/>
        <v>14.300000000049566</v>
      </c>
      <c r="AF36" s="1059">
        <f t="shared" si="4"/>
        <v>11.000000000028868</v>
      </c>
      <c r="AG36" s="1059">
        <f t="shared" si="4"/>
        <v>12.466666666640421</v>
      </c>
      <c r="AH36" s="1059">
        <f t="shared" si="4"/>
        <v>13.383333333279943</v>
      </c>
      <c r="AI36" s="1060">
        <f t="shared" si="4"/>
        <v>10.083333333311545</v>
      </c>
      <c r="AJ36" s="1060">
        <f t="shared" si="4"/>
        <v>11.55</v>
      </c>
      <c r="AK36" s="1060">
        <f t="shared" si="4"/>
        <v>12.466666666640421</v>
      </c>
    </row>
    <row r="37" spans="8:8" ht="15.75" customHeight="1">
      <c r="D37" s="1049">
        <f t="shared" si="5"/>
        <v>0.09444444444444508</v>
      </c>
      <c r="E37" s="1050">
        <f t="shared" si="0"/>
        <v>27.011111111111294</v>
      </c>
      <c r="F37" s="1050">
        <f t="shared" si="1"/>
        <v>28.522222222222414</v>
      </c>
      <c r="G37" s="1050">
        <f t="shared" si="1"/>
        <v>29.466666666666864</v>
      </c>
      <c r="H37" s="1051">
        <f t="shared" si="8"/>
        <v>25.12222222219621</v>
      </c>
      <c r="I37" s="1051">
        <f t="shared" si="8"/>
        <v>26.63333333341377</v>
      </c>
      <c r="J37" s="1051">
        <f t="shared" si="8"/>
        <v>27.57777777780499</v>
      </c>
      <c r="K37" s="1052">
        <f t="shared" si="8"/>
        <v>23.233333333408066</v>
      </c>
      <c r="L37" s="1052">
        <f t="shared" si="8"/>
        <v>24.744444444392823</v>
      </c>
      <c r="M37" s="1052">
        <f t="shared" si="8"/>
        <v>25.688888888795944</v>
      </c>
      <c r="N37" s="1053">
        <f t="shared" si="8"/>
        <v>17.0</v>
      </c>
      <c r="O37" s="1053">
        <f t="shared" si="8"/>
        <v>18.511111111195955</v>
      </c>
      <c r="P37" s="1053">
        <f t="shared" si="8"/>
        <v>19.455555555599776</v>
      </c>
      <c r="Q37" s="1054">
        <f t="shared" si="8"/>
        <v>16.055555555592377</v>
      </c>
      <c r="R37" s="1054">
        <f t="shared" si="8"/>
        <v>17.566666666606036</v>
      </c>
      <c r="S37" s="1054">
        <f t="shared" si="8"/>
        <v>18.511111111195955</v>
      </c>
      <c r="T37" s="1055">
        <f t="shared" si="6"/>
        <v>15.111111111179556</v>
      </c>
      <c r="U37" s="1055">
        <f t="shared" si="6"/>
        <v>16.62222222220311</v>
      </c>
      <c r="V37" s="1055">
        <f t="shared" si="6"/>
        <v>17.566666666606036</v>
      </c>
      <c r="W37" s="1056">
        <f t="shared" si="6"/>
        <v>14.166666666620133</v>
      </c>
      <c r="X37" s="1056">
        <f t="shared" si="6"/>
        <v>15.677777777795688</v>
      </c>
      <c r="Y37" s="1056">
        <f t="shared" si="6"/>
        <v>16.62222222220311</v>
      </c>
      <c r="Z37" s="1057">
        <f t="shared" si="6"/>
        <v>13.22222222220841</v>
      </c>
      <c r="AA37" s="1057">
        <f t="shared" si="6"/>
        <v>14.733333333382866</v>
      </c>
      <c r="AB37" s="1057">
        <f t="shared" si="6"/>
        <v>15.677777777795688</v>
      </c>
      <c r="AC37" s="1058">
        <f t="shared" si="6"/>
        <v>12.277777777789689</v>
      </c>
      <c r="AD37" s="1058">
        <f t="shared" si="6"/>
        <v>13.788888888835544</v>
      </c>
      <c r="AE37" s="1058">
        <f t="shared" si="4"/>
        <v>14.733333333382866</v>
      </c>
      <c r="AF37" s="1059">
        <f t="shared" si="4"/>
        <v>11.333333333362168</v>
      </c>
      <c r="AG37" s="1059">
        <f t="shared" si="4"/>
        <v>12.844444444418222</v>
      </c>
      <c r="AH37" s="1059">
        <f t="shared" si="4"/>
        <v>13.788888888835544</v>
      </c>
      <c r="AI37" s="1060">
        <f t="shared" si="4"/>
        <v>10.388888888867145</v>
      </c>
      <c r="AJ37" s="1060">
        <f t="shared" si="4"/>
        <v>11.9</v>
      </c>
      <c r="AK37" s="1060">
        <f t="shared" si="4"/>
        <v>12.844444444418222</v>
      </c>
    </row>
    <row r="38" spans="8:8" ht="15.75" customHeight="1">
      <c r="D38" s="1049">
        <f t="shared" si="5"/>
        <v>0.09722222222222288</v>
      </c>
      <c r="E38" s="1050">
        <f t="shared" si="0"/>
        <v>27.805555555555742</v>
      </c>
      <c r="F38" s="1050">
        <f t="shared" si="1"/>
        <v>29.36111111111131</v>
      </c>
      <c r="G38" s="1050">
        <f t="shared" si="1"/>
        <v>30.333333333333538</v>
      </c>
      <c r="H38" s="1051">
        <f t="shared" si="8"/>
        <v>25.86111111108511</v>
      </c>
      <c r="I38" s="1051">
        <f t="shared" si="8"/>
        <v>27.41666666674707</v>
      </c>
      <c r="J38" s="1051">
        <f t="shared" si="8"/>
        <v>28.38888888891609</v>
      </c>
      <c r="K38" s="1052">
        <f t="shared" si="8"/>
        <v>23.916666666741367</v>
      </c>
      <c r="L38" s="1052">
        <f t="shared" si="8"/>
        <v>25.472222222170622</v>
      </c>
      <c r="M38" s="1052">
        <f t="shared" si="8"/>
        <v>26.444444444351543</v>
      </c>
      <c r="N38" s="1053">
        <f t="shared" si="8"/>
        <v>17.5</v>
      </c>
      <c r="O38" s="1053">
        <f t="shared" si="8"/>
        <v>19.055555555640357</v>
      </c>
      <c r="P38" s="1053">
        <f t="shared" si="8"/>
        <v>20.027777777821978</v>
      </c>
      <c r="Q38" s="1054">
        <f t="shared" si="8"/>
        <v>16.527777777814578</v>
      </c>
      <c r="R38" s="1054">
        <f t="shared" si="8"/>
        <v>18.083333333272734</v>
      </c>
      <c r="S38" s="1054">
        <f t="shared" si="8"/>
        <v>19.055555555640357</v>
      </c>
      <c r="T38" s="1055">
        <f t="shared" si="6"/>
        <v>15.555555555623956</v>
      </c>
      <c r="U38" s="1055">
        <f t="shared" si="6"/>
        <v>17.111111111092008</v>
      </c>
      <c r="V38" s="1055">
        <f t="shared" si="6"/>
        <v>18.083333333272734</v>
      </c>
      <c r="W38" s="1056">
        <f t="shared" si="6"/>
        <v>14.583333333286832</v>
      </c>
      <c r="X38" s="1056">
        <f t="shared" si="6"/>
        <v>16.138888888906788</v>
      </c>
      <c r="Y38" s="1056">
        <f t="shared" si="6"/>
        <v>17.111111111092008</v>
      </c>
      <c r="Z38" s="1057">
        <f t="shared" si="6"/>
        <v>13.61111111109731</v>
      </c>
      <c r="AA38" s="1057">
        <f t="shared" si="6"/>
        <v>15.166666666716166</v>
      </c>
      <c r="AB38" s="1057">
        <f t="shared" si="6"/>
        <v>16.138888888906788</v>
      </c>
      <c r="AC38" s="1058">
        <f t="shared" si="6"/>
        <v>12.638888888900789</v>
      </c>
      <c r="AD38" s="1058">
        <f t="shared" si="6"/>
        <v>14.194444444391143</v>
      </c>
      <c r="AE38" s="1058">
        <f t="shared" si="4"/>
        <v>15.166666666716166</v>
      </c>
      <c r="AF38" s="1059">
        <f t="shared" si="4"/>
        <v>11.666666666695468</v>
      </c>
      <c r="AG38" s="1059">
        <f t="shared" si="4"/>
        <v>13.222222222196022</v>
      </c>
      <c r="AH38" s="1059">
        <f t="shared" si="4"/>
        <v>14.194444444391143</v>
      </c>
      <c r="AI38" s="1060">
        <f t="shared" si="4"/>
        <v>10.694444444422745</v>
      </c>
      <c r="AJ38" s="1060">
        <f t="shared" si="4"/>
        <v>12.25</v>
      </c>
      <c r="AK38" s="1060">
        <f t="shared" si="4"/>
        <v>13.222222222196022</v>
      </c>
    </row>
    <row r="39" spans="8:8" ht="15.75" customHeight="1">
      <c r="D39" s="1049">
        <f t="shared" si="5"/>
        <v>0.10000000000000069</v>
      </c>
      <c r="E39" s="1050">
        <f t="shared" si="0"/>
        <v>28.600000000000197</v>
      </c>
      <c r="F39" s="1050">
        <f t="shared" si="1"/>
        <v>30.200000000000205</v>
      </c>
      <c r="G39" s="1050">
        <f t="shared" si="1"/>
        <v>31.200000000000212</v>
      </c>
      <c r="H39" s="1051">
        <f t="shared" si="8"/>
        <v>26.59999999997401</v>
      </c>
      <c r="I39" s="1051">
        <f t="shared" si="8"/>
        <v>28.20000000008037</v>
      </c>
      <c r="J39" s="1051">
        <f t="shared" si="8"/>
        <v>29.20000000002719</v>
      </c>
      <c r="K39" s="1052">
        <f t="shared" si="8"/>
        <v>24.600000000074665</v>
      </c>
      <c r="L39" s="1052">
        <f t="shared" si="8"/>
        <v>26.19999999994842</v>
      </c>
      <c r="M39" s="1052">
        <f t="shared" si="8"/>
        <v>27.199999999907142</v>
      </c>
      <c r="N39" s="1053">
        <f t="shared" si="8"/>
        <v>18.0</v>
      </c>
      <c r="O39" s="1053">
        <f t="shared" si="8"/>
        <v>19.600000000084755</v>
      </c>
      <c r="P39" s="1053">
        <f t="shared" si="8"/>
        <v>20.600000000044176</v>
      </c>
      <c r="Q39" s="1054">
        <f t="shared" si="8"/>
        <v>17.000000000036778</v>
      </c>
      <c r="R39" s="1054">
        <f t="shared" si="8"/>
        <v>18.599999999939435</v>
      </c>
      <c r="S39" s="1054">
        <f t="shared" si="8"/>
        <v>19.600000000084755</v>
      </c>
      <c r="T39" s="1055">
        <f t="shared" si="6"/>
        <v>16.000000000068358</v>
      </c>
      <c r="U39" s="1055">
        <f t="shared" si="6"/>
        <v>17.59999999998091</v>
      </c>
      <c r="V39" s="1055">
        <f t="shared" si="6"/>
        <v>18.599999999939435</v>
      </c>
      <c r="W39" s="1056">
        <f t="shared" si="6"/>
        <v>14.999999999953532</v>
      </c>
      <c r="X39" s="1056">
        <f t="shared" si="6"/>
        <v>16.60000000001789</v>
      </c>
      <c r="Y39" s="1056">
        <f t="shared" si="6"/>
        <v>17.59999999998091</v>
      </c>
      <c r="Z39" s="1057">
        <f t="shared" si="6"/>
        <v>13.99999999998621</v>
      </c>
      <c r="AA39" s="1057">
        <f t="shared" si="6"/>
        <v>15.600000000049466</v>
      </c>
      <c r="AB39" s="1057">
        <f t="shared" si="6"/>
        <v>16.60000000001789</v>
      </c>
      <c r="AC39" s="1058">
        <f t="shared" si="6"/>
        <v>13.00000000001189</v>
      </c>
      <c r="AD39" s="1058">
        <f t="shared" si="6"/>
        <v>14.599999999946743</v>
      </c>
      <c r="AE39" s="1058">
        <f t="shared" si="4"/>
        <v>15.600000000049466</v>
      </c>
      <c r="AF39" s="1059">
        <f t="shared" si="4"/>
        <v>12.000000000028768</v>
      </c>
      <c r="AG39" s="1059">
        <f t="shared" si="4"/>
        <v>13.599999999973821</v>
      </c>
      <c r="AH39" s="1059">
        <f t="shared" si="4"/>
        <v>14.599999999946743</v>
      </c>
      <c r="AI39" s="1060">
        <f t="shared" si="4"/>
        <v>10.999999999978344</v>
      </c>
      <c r="AJ39" s="1060">
        <f t="shared" si="4"/>
        <v>12.6</v>
      </c>
      <c r="AK39" s="1060">
        <f t="shared" si="4"/>
        <v>13.599999999973821</v>
      </c>
    </row>
    <row r="40" spans="8:8" ht="15.75" customHeight="1">
      <c r="D40" s="1049">
        <f t="shared" si="5"/>
        <v>0.10277777777777879</v>
      </c>
      <c r="E40" s="1050">
        <f t="shared" si="0"/>
        <v>29.394444444444733</v>
      </c>
      <c r="F40" s="1050">
        <f t="shared" si="1"/>
        <v>31.038888888889193</v>
      </c>
      <c r="G40" s="1050">
        <f t="shared" si="1"/>
        <v>32.06666666666698</v>
      </c>
      <c r="H40" s="1051">
        <f t="shared" si="8"/>
        <v>27.338888888862908</v>
      </c>
      <c r="I40" s="1051">
        <f t="shared" si="8"/>
        <v>28.98333333341367</v>
      </c>
      <c r="J40" s="1051">
        <f t="shared" si="8"/>
        <v>30.01111111113829</v>
      </c>
      <c r="K40" s="1052">
        <f t="shared" si="8"/>
        <v>25.283333333407967</v>
      </c>
      <c r="L40" s="1052">
        <f t="shared" si="8"/>
        <v>26.927777777726224</v>
      </c>
      <c r="M40" s="1052">
        <f t="shared" si="8"/>
        <v>27.955555555462745</v>
      </c>
      <c r="N40" s="1053">
        <f t="shared" si="8"/>
        <v>18.5</v>
      </c>
      <c r="O40" s="1053">
        <f t="shared" si="8"/>
        <v>20.144444444529157</v>
      </c>
      <c r="P40" s="1053">
        <f t="shared" si="8"/>
        <v>21.172222222266377</v>
      </c>
      <c r="Q40" s="1054">
        <f t="shared" si="8"/>
        <v>17.472222222258978</v>
      </c>
      <c r="R40" s="1054">
        <f t="shared" si="8"/>
        <v>19.116666666606136</v>
      </c>
      <c r="S40" s="1054">
        <f t="shared" si="8"/>
        <v>20.144444444529157</v>
      </c>
      <c r="T40" s="1055">
        <f t="shared" si="6"/>
        <v>16.444444444512758</v>
      </c>
      <c r="U40" s="1055">
        <f t="shared" si="6"/>
        <v>18.08888888886981</v>
      </c>
      <c r="V40" s="1055">
        <f t="shared" si="6"/>
        <v>19.116666666606136</v>
      </c>
      <c r="W40" s="1056">
        <f t="shared" si="6"/>
        <v>15.416666666620232</v>
      </c>
      <c r="X40" s="1056">
        <f t="shared" si="6"/>
        <v>17.061111111128987</v>
      </c>
      <c r="Y40" s="1056">
        <f t="shared" si="6"/>
        <v>18.08888888886981</v>
      </c>
      <c r="Z40" s="1057">
        <f t="shared" si="6"/>
        <v>14.38888888887511</v>
      </c>
      <c r="AA40" s="1057">
        <f t="shared" si="6"/>
        <v>16.033333333382767</v>
      </c>
      <c r="AB40" s="1057">
        <f t="shared" si="6"/>
        <v>17.061111111128987</v>
      </c>
      <c r="AC40" s="1058">
        <f t="shared" si="6"/>
        <v>13.36111111112299</v>
      </c>
      <c r="AD40" s="1058">
        <f t="shared" si="6"/>
        <v>15.005555555502344</v>
      </c>
      <c r="AE40" s="1058">
        <f>AE41-(AE$363/360)</f>
        <v>16.033333333382767</v>
      </c>
      <c r="AF40" s="1059">
        <f>AF41-(AF$363/360)</f>
        <v>12.333333333362068</v>
      </c>
      <c r="AG40" s="1059">
        <f>AG41-(AG$363/360)</f>
        <v>13.977777777751621</v>
      </c>
      <c r="AH40" s="1059">
        <f>AH41-(AH$363/360)</f>
        <v>15.005555555502344</v>
      </c>
      <c r="AI40" s="1060">
        <f>AI41-(AI$363/360)</f>
        <v>11.305555555533944</v>
      </c>
      <c r="AJ40" s="1060">
        <f t="shared" si="9" ref="AH40:AK103">AJ41-(AJ$363/360)</f>
        <v>12.950000000000001</v>
      </c>
      <c r="AK40" s="1060">
        <f t="shared" si="9"/>
        <v>13.977777777751621</v>
      </c>
    </row>
    <row r="41" spans="8:8" ht="15.75" customHeight="1">
      <c r="D41" s="1049">
        <f t="shared" si="5"/>
        <v>0.10555555555555678</v>
      </c>
      <c r="E41" s="1050">
        <f t="shared" si="0"/>
        <v>30.188888888889238</v>
      </c>
      <c r="F41" s="1050">
        <f t="shared" si="1"/>
        <v>31.877777777778146</v>
      </c>
      <c r="G41" s="1050">
        <f t="shared" si="1"/>
        <v>32.933333333333714</v>
      </c>
      <c r="H41" s="1051">
        <f t="shared" si="8"/>
        <v>28.07777777775181</v>
      </c>
      <c r="I41" s="1051">
        <f t="shared" si="8"/>
        <v>29.766666666746968</v>
      </c>
      <c r="J41" s="1051">
        <f t="shared" si="8"/>
        <v>30.82222222224939</v>
      </c>
      <c r="K41" s="1052">
        <f t="shared" si="8"/>
        <v>25.966666666741265</v>
      </c>
      <c r="L41" s="1052">
        <f t="shared" si="8"/>
        <v>27.655555555504023</v>
      </c>
      <c r="M41" s="1052">
        <f t="shared" si="8"/>
        <v>28.711111111018344</v>
      </c>
      <c r="N41" s="1053">
        <f t="shared" si="8"/>
        <v>19.0</v>
      </c>
      <c r="O41" s="1053">
        <f t="shared" si="8"/>
        <v>20.688888888973555</v>
      </c>
      <c r="P41" s="1053">
        <f t="shared" si="8"/>
        <v>21.744444444488575</v>
      </c>
      <c r="Q41" s="1054">
        <f t="shared" si="8"/>
        <v>17.944444444481178</v>
      </c>
      <c r="R41" s="1054">
        <f t="shared" si="8"/>
        <v>19.633333333272834</v>
      </c>
      <c r="S41" s="1054">
        <f t="shared" si="8"/>
        <v>20.688888888973555</v>
      </c>
      <c r="T41" s="1055">
        <f t="shared" si="6"/>
        <v>16.88888888895716</v>
      </c>
      <c r="U41" s="1055">
        <f t="shared" si="6"/>
        <v>18.57777777775871</v>
      </c>
      <c r="V41" s="1055">
        <f t="shared" si="6"/>
        <v>19.633333333272834</v>
      </c>
      <c r="W41" s="1056">
        <f t="shared" si="6"/>
        <v>15.833333333286934</v>
      </c>
      <c r="X41" s="1056">
        <f t="shared" si="6"/>
        <v>17.52222222224009</v>
      </c>
      <c r="Y41" s="1056">
        <f t="shared" si="6"/>
        <v>18.57777777775871</v>
      </c>
      <c r="Z41" s="1057">
        <f t="shared" si="6"/>
        <v>14.77777777776401</v>
      </c>
      <c r="AA41" s="1057">
        <f t="shared" si="6"/>
        <v>16.466666666716065</v>
      </c>
      <c r="AB41" s="1057">
        <f t="shared" si="6"/>
        <v>17.52222222224009</v>
      </c>
      <c r="AC41" s="1058">
        <f t="shared" si="6"/>
        <v>13.72222222223409</v>
      </c>
      <c r="AD41" s="1058">
        <f t="shared" si="6"/>
        <v>15.411111111057943</v>
      </c>
      <c r="AE41" s="1058">
        <f t="shared" si="6"/>
        <v>16.466666666716065</v>
      </c>
      <c r="AF41" s="1059">
        <f t="shared" si="10" ref="AA41:AG77">AF42-(AF$363/360)</f>
        <v>12.666666666695368</v>
      </c>
      <c r="AG41" s="1059">
        <f t="shared" si="10"/>
        <v>14.355555555529422</v>
      </c>
      <c r="AH41" s="1059">
        <f t="shared" si="9"/>
        <v>15.411111111057943</v>
      </c>
      <c r="AI41" s="1060">
        <f t="shared" si="9"/>
        <v>11.611111111089544</v>
      </c>
      <c r="AJ41" s="1060">
        <f t="shared" si="9"/>
        <v>13.3</v>
      </c>
      <c r="AK41" s="1060">
        <f t="shared" si="9"/>
        <v>14.355555555529422</v>
      </c>
    </row>
    <row r="42" spans="8:8" ht="15.75" customHeight="1">
      <c r="D42" s="1049">
        <f t="shared" si="5"/>
        <v>0.10833333333333478</v>
      </c>
      <c r="E42" s="1050">
        <f t="shared" si="0"/>
        <v>30.983333333333746</v>
      </c>
      <c r="F42" s="1050">
        <f t="shared" si="1"/>
        <v>32.7166666666671</v>
      </c>
      <c r="G42" s="1050">
        <f t="shared" si="1"/>
        <v>33.80000000000045</v>
      </c>
      <c r="H42" s="1051">
        <f t="shared" si="8"/>
        <v>28.81666666664071</v>
      </c>
      <c r="I42" s="1051">
        <f t="shared" si="8"/>
        <v>30.550000000080267</v>
      </c>
      <c r="J42" s="1051">
        <f t="shared" si="8"/>
        <v>31.63333333336049</v>
      </c>
      <c r="K42" s="1052">
        <f t="shared" si="8"/>
        <v>26.650000000074566</v>
      </c>
      <c r="L42" s="1052">
        <f t="shared" si="8"/>
        <v>28.383333333281822</v>
      </c>
      <c r="M42" s="1052">
        <f t="shared" si="8"/>
        <v>29.466666666573943</v>
      </c>
      <c r="N42" s="1053">
        <f t="shared" si="8"/>
        <v>19.5</v>
      </c>
      <c r="O42" s="1053">
        <f t="shared" si="8"/>
        <v>21.233333333417956</v>
      </c>
      <c r="P42" s="1053">
        <f t="shared" si="8"/>
        <v>22.316666666710777</v>
      </c>
      <c r="Q42" s="1054">
        <f t="shared" si="8"/>
        <v>18.416666666703378</v>
      </c>
      <c r="R42" s="1054">
        <f t="shared" si="8"/>
        <v>20.149999999939535</v>
      </c>
      <c r="S42" s="1054">
        <f t="shared" si="8"/>
        <v>21.233333333417956</v>
      </c>
      <c r="T42" s="1055">
        <f t="shared" si="8"/>
        <v>17.33333333340156</v>
      </c>
      <c r="U42" s="1055">
        <f t="shared" si="11" ref="U42:Z73">U43-(U$363/360)</f>
        <v>19.06666666664761</v>
      </c>
      <c r="V42" s="1055">
        <f t="shared" si="11"/>
        <v>20.149999999939535</v>
      </c>
      <c r="W42" s="1056">
        <f t="shared" si="11"/>
        <v>16.249999999953634</v>
      </c>
      <c r="X42" s="1056">
        <f t="shared" si="11"/>
        <v>17.983333333351187</v>
      </c>
      <c r="Y42" s="1056">
        <f t="shared" si="11"/>
        <v>19.06666666664761</v>
      </c>
      <c r="Z42" s="1057">
        <f t="shared" si="11"/>
        <v>15.16666666665291</v>
      </c>
      <c r="AA42" s="1057">
        <f t="shared" si="10"/>
        <v>16.900000000049367</v>
      </c>
      <c r="AB42" s="1057">
        <f t="shared" si="10"/>
        <v>17.983333333351187</v>
      </c>
      <c r="AC42" s="1058">
        <f t="shared" si="10"/>
        <v>14.08333333334519</v>
      </c>
      <c r="AD42" s="1058">
        <f t="shared" si="10"/>
        <v>15.816666666613544</v>
      </c>
      <c r="AE42" s="1058">
        <f t="shared" si="10"/>
        <v>16.900000000049367</v>
      </c>
      <c r="AF42" s="1059">
        <f t="shared" si="10"/>
        <v>13.000000000028669</v>
      </c>
      <c r="AG42" s="1059">
        <f t="shared" si="10"/>
        <v>14.733333333307222</v>
      </c>
      <c r="AH42" s="1059">
        <f t="shared" si="9"/>
        <v>15.816666666613544</v>
      </c>
      <c r="AI42" s="1060">
        <f t="shared" si="9"/>
        <v>11.916666666645146</v>
      </c>
      <c r="AJ42" s="1060">
        <f t="shared" si="9"/>
        <v>13.65</v>
      </c>
      <c r="AK42" s="1060">
        <f t="shared" si="9"/>
        <v>14.733333333307222</v>
      </c>
    </row>
    <row r="43" spans="8:8" ht="15.75" customHeight="1">
      <c r="D43" s="1049">
        <f t="shared" si="5"/>
        <v>0.11111111111111278</v>
      </c>
      <c r="E43" s="1050">
        <f t="shared" si="0"/>
        <v>31.777777777778255</v>
      </c>
      <c r="F43" s="1050">
        <f t="shared" si="1"/>
        <v>33.55555555555606</v>
      </c>
      <c r="G43" s="1050">
        <f t="shared" si="1"/>
        <v>34.66666666666719</v>
      </c>
      <c r="H43" s="1051">
        <f t="shared" si="8"/>
        <v>29.555555555529608</v>
      </c>
      <c r="I43" s="1051">
        <f t="shared" si="8"/>
        <v>31.33333333341357</v>
      </c>
      <c r="J43" s="1051">
        <f t="shared" si="8"/>
        <v>32.44444444447159</v>
      </c>
      <c r="K43" s="1052">
        <f t="shared" si="8"/>
        <v>27.333333333407868</v>
      </c>
      <c r="L43" s="1052">
        <f t="shared" si="8"/>
        <v>29.11111111105962</v>
      </c>
      <c r="M43" s="1052">
        <f t="shared" si="8"/>
        <v>30.222222222129545</v>
      </c>
      <c r="N43" s="1053">
        <f t="shared" si="8"/>
        <v>20.0</v>
      </c>
      <c r="O43" s="1053">
        <f t="shared" si="8"/>
        <v>21.777777777862354</v>
      </c>
      <c r="P43" s="1053">
        <f t="shared" si="8"/>
        <v>22.88888888893298</v>
      </c>
      <c r="Q43" s="1054">
        <f t="shared" si="8"/>
        <v>18.888888888925578</v>
      </c>
      <c r="R43" s="1054">
        <f t="shared" si="8"/>
        <v>20.666666666606233</v>
      </c>
      <c r="S43" s="1054">
        <f t="shared" si="8"/>
        <v>21.777777777862354</v>
      </c>
      <c r="T43" s="1055">
        <f t="shared" si="8"/>
        <v>17.77777777784596</v>
      </c>
      <c r="U43" s="1055">
        <f t="shared" si="11"/>
        <v>19.55555555553651</v>
      </c>
      <c r="V43" s="1055">
        <f t="shared" si="11"/>
        <v>20.666666666606233</v>
      </c>
      <c r="W43" s="1056">
        <f t="shared" si="11"/>
        <v>16.666666666620333</v>
      </c>
      <c r="X43" s="1056">
        <f t="shared" si="11"/>
        <v>18.444444444462288</v>
      </c>
      <c r="Y43" s="1056">
        <f t="shared" si="11"/>
        <v>19.55555555553651</v>
      </c>
      <c r="Z43" s="1057">
        <f t="shared" si="11"/>
        <v>15.55555555554181</v>
      </c>
      <c r="AA43" s="1057">
        <f t="shared" si="10"/>
        <v>17.333333333382665</v>
      </c>
      <c r="AB43" s="1057">
        <f t="shared" si="10"/>
        <v>18.444444444462288</v>
      </c>
      <c r="AC43" s="1058">
        <f t="shared" si="10"/>
        <v>14.44444444445629</v>
      </c>
      <c r="AD43" s="1058">
        <f t="shared" si="10"/>
        <v>16.222222222169144</v>
      </c>
      <c r="AE43" s="1058">
        <f t="shared" si="10"/>
        <v>17.333333333382665</v>
      </c>
      <c r="AF43" s="1059">
        <f t="shared" si="10"/>
        <v>13.333333333361967</v>
      </c>
      <c r="AG43" s="1059">
        <f t="shared" si="10"/>
        <v>15.111111111085021</v>
      </c>
      <c r="AH43" s="1059">
        <f t="shared" si="9"/>
        <v>16.222222222169144</v>
      </c>
      <c r="AI43" s="1060">
        <f t="shared" si="9"/>
        <v>12.222222222200745</v>
      </c>
      <c r="AJ43" s="1060">
        <f t="shared" si="9"/>
        <v>14.0</v>
      </c>
      <c r="AK43" s="1060">
        <f t="shared" si="9"/>
        <v>15.111111111085021</v>
      </c>
    </row>
    <row r="44" spans="8:8" ht="15.75" customHeight="1">
      <c r="D44" s="1049">
        <f t="shared" si="5"/>
        <v>0.11388888888889079</v>
      </c>
      <c r="E44" s="1050">
        <f t="shared" si="0"/>
        <v>32.57222222222276</v>
      </c>
      <c r="F44" s="1050">
        <f t="shared" si="1"/>
        <v>34.39444444444502</v>
      </c>
      <c r="G44" s="1050">
        <f t="shared" si="1"/>
        <v>35.53333333333393</v>
      </c>
      <c r="H44" s="1051">
        <f t="shared" si="8"/>
        <v>30.29444444441851</v>
      </c>
      <c r="I44" s="1051">
        <f t="shared" si="8"/>
        <v>32.116666666746866</v>
      </c>
      <c r="J44" s="1051">
        <f t="shared" si="8"/>
        <v>33.25555555558269</v>
      </c>
      <c r="K44" s="1052">
        <f t="shared" si="8"/>
        <v>28.016666666741166</v>
      </c>
      <c r="L44" s="1052">
        <f t="shared" si="8"/>
        <v>29.83888888883742</v>
      </c>
      <c r="M44" s="1052">
        <f t="shared" si="8"/>
        <v>30.977777777685144</v>
      </c>
      <c r="N44" s="1053">
        <f t="shared" si="8"/>
        <v>20.5</v>
      </c>
      <c r="O44" s="1053">
        <f t="shared" si="8"/>
        <v>22.322222222306756</v>
      </c>
      <c r="P44" s="1053">
        <f t="shared" si="8"/>
        <v>23.461111111155176</v>
      </c>
      <c r="Q44" s="1054">
        <f t="shared" si="8"/>
        <v>19.36111111114778</v>
      </c>
      <c r="R44" s="1054">
        <f t="shared" si="8"/>
        <v>21.183333333272934</v>
      </c>
      <c r="S44" s="1054">
        <f t="shared" si="8"/>
        <v>22.322222222306756</v>
      </c>
      <c r="T44" s="1055">
        <f t="shared" si="8"/>
        <v>18.222222222290355</v>
      </c>
      <c r="U44" s="1055">
        <f t="shared" si="11"/>
        <v>20.04444444442541</v>
      </c>
      <c r="V44" s="1055">
        <f t="shared" si="11"/>
        <v>21.183333333272934</v>
      </c>
      <c r="W44" s="1056">
        <f t="shared" si="11"/>
        <v>17.083333333287033</v>
      </c>
      <c r="X44" s="1056">
        <f t="shared" si="11"/>
        <v>18.90555555557339</v>
      </c>
      <c r="Y44" s="1056">
        <f t="shared" si="11"/>
        <v>20.04444444442541</v>
      </c>
      <c r="Z44" s="1057">
        <f t="shared" si="11"/>
        <v>15.944444444430712</v>
      </c>
      <c r="AA44" s="1057">
        <f t="shared" si="10"/>
        <v>17.766666666715967</v>
      </c>
      <c r="AB44" s="1057">
        <f t="shared" si="10"/>
        <v>18.90555555557339</v>
      </c>
      <c r="AC44" s="1058">
        <f t="shared" si="10"/>
        <v>14.80555555556739</v>
      </c>
      <c r="AD44" s="1058">
        <f t="shared" si="10"/>
        <v>16.627777777724745</v>
      </c>
      <c r="AE44" s="1058">
        <f t="shared" si="10"/>
        <v>17.766666666715967</v>
      </c>
      <c r="AF44" s="1059">
        <f t="shared" si="10"/>
        <v>13.666666666695267</v>
      </c>
      <c r="AG44" s="1059">
        <f t="shared" si="10"/>
        <v>15.488888888862823</v>
      </c>
      <c r="AH44" s="1059">
        <f t="shared" si="9"/>
        <v>16.627777777724745</v>
      </c>
      <c r="AI44" s="1060">
        <f t="shared" si="9"/>
        <v>12.527777777756345</v>
      </c>
      <c r="AJ44" s="1060">
        <f t="shared" si="9"/>
        <v>14.35</v>
      </c>
      <c r="AK44" s="1060">
        <f t="shared" si="9"/>
        <v>15.488888888862823</v>
      </c>
    </row>
    <row r="45" spans="8:8" ht="15.75" customHeight="1">
      <c r="D45" s="1049">
        <f t="shared" si="5"/>
        <v>0.11666666666666878</v>
      </c>
      <c r="E45" s="1050">
        <f t="shared" si="0"/>
        <v>33.36666666666727</v>
      </c>
      <c r="F45" s="1050">
        <f t="shared" si="1"/>
        <v>35.233333333333974</v>
      </c>
      <c r="G45" s="1050">
        <f t="shared" si="1"/>
        <v>36.40000000000066</v>
      </c>
      <c r="H45" s="1051">
        <f t="shared" si="8"/>
        <v>31.03333333330741</v>
      </c>
      <c r="I45" s="1051">
        <f t="shared" si="8"/>
        <v>32.90000000008017</v>
      </c>
      <c r="J45" s="1051">
        <f t="shared" si="8"/>
        <v>34.06666666669379</v>
      </c>
      <c r="K45" s="1052">
        <f t="shared" si="8"/>
        <v>28.700000000074468</v>
      </c>
      <c r="L45" s="1052">
        <f t="shared" si="8"/>
        <v>30.566666666615223</v>
      </c>
      <c r="M45" s="1052">
        <f t="shared" si="8"/>
        <v>31.733333333240747</v>
      </c>
      <c r="N45" s="1053">
        <f t="shared" si="8"/>
        <v>21.0</v>
      </c>
      <c r="O45" s="1053">
        <f t="shared" si="8"/>
        <v>22.866666666751154</v>
      </c>
      <c r="P45" s="1053">
        <f t="shared" si="8"/>
        <v>24.033333333377378</v>
      </c>
      <c r="Q45" s="1054">
        <f t="shared" si="8"/>
        <v>19.83333333336998</v>
      </c>
      <c r="R45" s="1054">
        <f t="shared" si="8"/>
        <v>21.699999999939635</v>
      </c>
      <c r="S45" s="1054">
        <f t="shared" si="8"/>
        <v>22.866666666751154</v>
      </c>
      <c r="T45" s="1055">
        <f t="shared" si="8"/>
        <v>18.666666666734756</v>
      </c>
      <c r="U45" s="1055">
        <f t="shared" si="11"/>
        <v>20.53333333331431</v>
      </c>
      <c r="V45" s="1055">
        <f t="shared" si="11"/>
        <v>21.699999999939635</v>
      </c>
      <c r="W45" s="1056">
        <f t="shared" si="11"/>
        <v>17.499999999953733</v>
      </c>
      <c r="X45" s="1056">
        <f t="shared" si="11"/>
        <v>19.366666666684488</v>
      </c>
      <c r="Y45" s="1056">
        <f t="shared" si="11"/>
        <v>20.53333333331431</v>
      </c>
      <c r="Z45" s="1057">
        <f t="shared" si="11"/>
        <v>16.33333333331961</v>
      </c>
      <c r="AA45" s="1057">
        <f t="shared" si="10"/>
        <v>18.200000000049265</v>
      </c>
      <c r="AB45" s="1057">
        <f t="shared" si="10"/>
        <v>19.366666666684488</v>
      </c>
      <c r="AC45" s="1058">
        <f t="shared" si="10"/>
        <v>15.16666666667849</v>
      </c>
      <c r="AD45" s="1058">
        <f t="shared" si="10"/>
        <v>17.033333333280346</v>
      </c>
      <c r="AE45" s="1058">
        <f t="shared" si="10"/>
        <v>18.200000000049265</v>
      </c>
      <c r="AF45" s="1059">
        <f t="shared" si="10"/>
        <v>14.000000000028567</v>
      </c>
      <c r="AG45" s="1059">
        <f t="shared" si="10"/>
        <v>15.86666666664062</v>
      </c>
      <c r="AH45" s="1059">
        <f t="shared" si="9"/>
        <v>17.033333333280346</v>
      </c>
      <c r="AI45" s="1060">
        <f t="shared" si="9"/>
        <v>12.833333333311945</v>
      </c>
      <c r="AJ45" s="1060">
        <f t="shared" si="9"/>
        <v>14.700000000000001</v>
      </c>
      <c r="AK45" s="1060">
        <f t="shared" si="9"/>
        <v>15.86666666664062</v>
      </c>
    </row>
    <row r="46" spans="8:8" ht="15.75" customHeight="1">
      <c r="D46" s="1049">
        <f t="shared" si="5"/>
        <v>0.11944444444444678</v>
      </c>
      <c r="E46" s="1050">
        <f t="shared" si="0"/>
        <v>34.16111111111178</v>
      </c>
      <c r="F46" s="1050">
        <f t="shared" si="1"/>
        <v>36.072222222222926</v>
      </c>
      <c r="G46" s="1050">
        <f t="shared" si="1"/>
        <v>37.2666666666674</v>
      </c>
      <c r="H46" s="1051">
        <f t="shared" si="8"/>
        <v>31.77222222219631</v>
      </c>
      <c r="I46" s="1051">
        <f t="shared" si="8"/>
        <v>33.683333333413465</v>
      </c>
      <c r="J46" s="1051">
        <f t="shared" si="8"/>
        <v>34.87777777780489</v>
      </c>
      <c r="K46" s="1052">
        <f t="shared" si="8"/>
        <v>29.383333333407766</v>
      </c>
      <c r="L46" s="1052">
        <f t="shared" si="8"/>
        <v>31.29444444439302</v>
      </c>
      <c r="M46" s="1052">
        <f t="shared" si="8"/>
        <v>32.48888888879625</v>
      </c>
      <c r="N46" s="1053">
        <f t="shared" si="8"/>
        <v>21.5</v>
      </c>
      <c r="O46" s="1053">
        <f t="shared" si="8"/>
        <v>23.411111111195556</v>
      </c>
      <c r="P46" s="1053">
        <f t="shared" si="8"/>
        <v>24.605555555599576</v>
      </c>
      <c r="Q46" s="1054">
        <f t="shared" si="8"/>
        <v>20.30555555559218</v>
      </c>
      <c r="R46" s="1054">
        <f t="shared" si="8"/>
        <v>22.216666666606333</v>
      </c>
      <c r="S46" s="1054">
        <f t="shared" si="8"/>
        <v>23.411111111195556</v>
      </c>
      <c r="T46" s="1055">
        <f t="shared" si="8"/>
        <v>19.111111111179156</v>
      </c>
      <c r="U46" s="1055">
        <f t="shared" si="11"/>
        <v>21.022222222203208</v>
      </c>
      <c r="V46" s="1055">
        <f t="shared" si="11"/>
        <v>22.216666666606333</v>
      </c>
      <c r="W46" s="1056">
        <f t="shared" si="11"/>
        <v>17.916666666620433</v>
      </c>
      <c r="X46" s="1056">
        <f t="shared" si="11"/>
        <v>19.82777777779559</v>
      </c>
      <c r="Y46" s="1056">
        <f t="shared" si="11"/>
        <v>21.022222222203208</v>
      </c>
      <c r="Z46" s="1057">
        <f t="shared" si="11"/>
        <v>16.72222222220851</v>
      </c>
      <c r="AA46" s="1057">
        <f t="shared" si="10"/>
        <v>18.633333333382566</v>
      </c>
      <c r="AB46" s="1057">
        <f t="shared" si="10"/>
        <v>19.82777777779559</v>
      </c>
      <c r="AC46" s="1058">
        <f t="shared" si="10"/>
        <v>15.52777777778959</v>
      </c>
      <c r="AD46" s="1058">
        <f t="shared" si="10"/>
        <v>17.438888888835944</v>
      </c>
      <c r="AE46" s="1058">
        <f t="shared" si="10"/>
        <v>18.633333333382566</v>
      </c>
      <c r="AF46" s="1059">
        <f t="shared" si="10"/>
        <v>14.333333333361868</v>
      </c>
      <c r="AG46" s="1059">
        <f t="shared" si="10"/>
        <v>16.244444444418424</v>
      </c>
      <c r="AH46" s="1059">
        <f t="shared" si="9"/>
        <v>17.438888888835944</v>
      </c>
      <c r="AI46" s="1060">
        <f t="shared" si="9"/>
        <v>13.138888888867545</v>
      </c>
      <c r="AJ46" s="1060">
        <f t="shared" si="9"/>
        <v>15.05</v>
      </c>
      <c r="AK46" s="1060">
        <f t="shared" si="9"/>
        <v>16.244444444418424</v>
      </c>
    </row>
    <row r="47" spans="8:8" ht="15.75" customHeight="1">
      <c r="D47" s="1049">
        <f t="shared" si="5"/>
        <v>0.12222222222222479</v>
      </c>
      <c r="E47" s="1050">
        <f t="shared" si="0"/>
        <v>34.95555555555629</v>
      </c>
      <c r="F47" s="1050">
        <f t="shared" si="1"/>
        <v>36.911111111111886</v>
      </c>
      <c r="G47" s="1050">
        <f t="shared" si="1"/>
        <v>38.133333333334136</v>
      </c>
      <c r="H47" s="1051">
        <f t="shared" si="8"/>
        <v>32.511111111085214</v>
      </c>
      <c r="I47" s="1051">
        <f t="shared" si="8"/>
        <v>34.46666666674677</v>
      </c>
      <c r="J47" s="1051">
        <f t="shared" si="8"/>
        <v>35.68888888891599</v>
      </c>
      <c r="K47" s="1052">
        <f t="shared" si="8"/>
        <v>30.066666666741067</v>
      </c>
      <c r="L47" s="1052">
        <f t="shared" si="8"/>
        <v>32.02222222217082</v>
      </c>
      <c r="M47" s="1052">
        <f t="shared" si="8"/>
        <v>33.24444444435175</v>
      </c>
      <c r="N47" s="1053">
        <f t="shared" si="8"/>
        <v>22.0</v>
      </c>
      <c r="O47" s="1053">
        <f t="shared" si="8"/>
        <v>23.955555555639954</v>
      </c>
      <c r="P47" s="1053">
        <f t="shared" si="8"/>
        <v>25.177777777821778</v>
      </c>
      <c r="Q47" s="1054">
        <f t="shared" si="8"/>
        <v>20.77777777781438</v>
      </c>
      <c r="R47" s="1054">
        <f t="shared" si="8"/>
        <v>22.733333333273034</v>
      </c>
      <c r="S47" s="1054">
        <f t="shared" si="8"/>
        <v>23.955555555639954</v>
      </c>
      <c r="T47" s="1055">
        <f t="shared" si="8"/>
        <v>19.555555555623556</v>
      </c>
      <c r="U47" s="1055">
        <f t="shared" si="11"/>
        <v>21.51111111109211</v>
      </c>
      <c r="V47" s="1055">
        <f t="shared" si="11"/>
        <v>22.733333333273034</v>
      </c>
      <c r="W47" s="1056">
        <f t="shared" si="11"/>
        <v>18.333333333287133</v>
      </c>
      <c r="X47" s="1056">
        <f t="shared" si="11"/>
        <v>20.288888888906687</v>
      </c>
      <c r="Y47" s="1056">
        <f t="shared" si="11"/>
        <v>21.51111111109211</v>
      </c>
      <c r="Z47" s="1057">
        <f t="shared" si="11"/>
        <v>17.11111111109741</v>
      </c>
      <c r="AA47" s="1057">
        <f t="shared" si="10"/>
        <v>19.066666666715868</v>
      </c>
      <c r="AB47" s="1057">
        <f t="shared" si="10"/>
        <v>20.288888888906687</v>
      </c>
      <c r="AC47" s="1058">
        <f t="shared" si="10"/>
        <v>15.888888888900688</v>
      </c>
      <c r="AD47" s="1058">
        <f t="shared" si="10"/>
        <v>17.844444444391545</v>
      </c>
      <c r="AE47" s="1058">
        <f t="shared" si="10"/>
        <v>19.066666666715868</v>
      </c>
      <c r="AF47" s="1059">
        <f t="shared" si="10"/>
        <v>14.666666666695168</v>
      </c>
      <c r="AG47" s="1059">
        <f t="shared" si="10"/>
        <v>16.622222222196225</v>
      </c>
      <c r="AH47" s="1059">
        <f t="shared" si="9"/>
        <v>17.844444444391545</v>
      </c>
      <c r="AI47" s="1060">
        <f t="shared" si="9"/>
        <v>13.444444444423144</v>
      </c>
      <c r="AJ47" s="1060">
        <f t="shared" si="9"/>
        <v>15.4</v>
      </c>
      <c r="AK47" s="1060">
        <f t="shared" si="9"/>
        <v>16.622222222196225</v>
      </c>
    </row>
    <row r="48" spans="8:8" ht="15.75" customHeight="1">
      <c r="D48" s="1049">
        <f t="shared" si="5"/>
        <v>0.12500000000000278</v>
      </c>
      <c r="E48" s="1050">
        <f t="shared" si="0"/>
        <v>35.750000000000796</v>
      </c>
      <c r="F48" s="1050">
        <f t="shared" si="1"/>
        <v>37.75000000000084</v>
      </c>
      <c r="G48" s="1050">
        <f t="shared" si="1"/>
        <v>39.00000000000087</v>
      </c>
      <c r="H48" s="1051">
        <f t="shared" si="8"/>
        <v>33.249999999974115</v>
      </c>
      <c r="I48" s="1051">
        <f t="shared" si="8"/>
        <v>35.25000000008007</v>
      </c>
      <c r="J48" s="1051">
        <f t="shared" si="8"/>
        <v>36.50000000002709</v>
      </c>
      <c r="K48" s="1052">
        <f t="shared" si="8"/>
        <v>30.750000000074365</v>
      </c>
      <c r="L48" s="1052">
        <f t="shared" si="8"/>
        <v>32.74999999994862</v>
      </c>
      <c r="M48" s="1052">
        <f t="shared" si="8"/>
        <v>33.999999999907345</v>
      </c>
      <c r="N48" s="1053">
        <f t="shared" si="8"/>
        <v>22.5</v>
      </c>
      <c r="O48" s="1053">
        <f t="shared" si="8"/>
        <v>24.500000000084356</v>
      </c>
      <c r="P48" s="1053">
        <f t="shared" si="8"/>
        <v>25.750000000043975</v>
      </c>
      <c r="Q48" s="1054">
        <f t="shared" si="8"/>
        <v>21.25000000003658</v>
      </c>
      <c r="R48" s="1054">
        <f t="shared" si="8"/>
        <v>23.249999999939735</v>
      </c>
      <c r="S48" s="1054">
        <f t="shared" si="8"/>
        <v>24.500000000084356</v>
      </c>
      <c r="T48" s="1055">
        <f t="shared" si="8"/>
        <v>20.000000000067956</v>
      </c>
      <c r="U48" s="1055">
        <f t="shared" si="11"/>
        <v>21.99999999998101</v>
      </c>
      <c r="V48" s="1055">
        <f t="shared" si="11"/>
        <v>23.249999999939735</v>
      </c>
      <c r="W48" s="1056">
        <f t="shared" si="11"/>
        <v>18.749999999953832</v>
      </c>
      <c r="X48" s="1056">
        <f t="shared" si="11"/>
        <v>20.75000000001779</v>
      </c>
      <c r="Y48" s="1056">
        <f t="shared" si="11"/>
        <v>21.99999999998101</v>
      </c>
      <c r="Z48" s="1057">
        <f t="shared" si="11"/>
        <v>17.49999999998631</v>
      </c>
      <c r="AA48" s="1057">
        <f t="shared" si="10"/>
        <v>19.500000000049166</v>
      </c>
      <c r="AB48" s="1057">
        <f t="shared" si="10"/>
        <v>20.75000000001779</v>
      </c>
      <c r="AC48" s="1058">
        <f t="shared" si="10"/>
        <v>16.250000000011788</v>
      </c>
      <c r="AD48" s="1058">
        <f t="shared" si="10"/>
        <v>18.249999999947146</v>
      </c>
      <c r="AE48" s="1058">
        <f t="shared" si="10"/>
        <v>19.500000000049166</v>
      </c>
      <c r="AF48" s="1059">
        <f t="shared" si="10"/>
        <v>15.000000000028468</v>
      </c>
      <c r="AG48" s="1059">
        <f t="shared" si="10"/>
        <v>16.999999999974023</v>
      </c>
      <c r="AH48" s="1059">
        <f t="shared" si="9"/>
        <v>18.249999999947146</v>
      </c>
      <c r="AI48" s="1060">
        <f t="shared" si="9"/>
        <v>13.749999999978744</v>
      </c>
      <c r="AJ48" s="1060">
        <f t="shared" si="9"/>
        <v>15.750000000000002</v>
      </c>
      <c r="AK48" s="1060">
        <f t="shared" si="9"/>
        <v>16.999999999974023</v>
      </c>
    </row>
    <row r="49" spans="8:8" ht="15.75" customHeight="1">
      <c r="D49" s="1049">
        <f t="shared" si="5"/>
        <v>0.12777777777778077</v>
      </c>
      <c r="E49" s="1050">
        <f t="shared" si="0"/>
        <v>36.5444444444453</v>
      </c>
      <c r="F49" s="1050">
        <f t="shared" si="1"/>
        <v>38.58888888888979</v>
      </c>
      <c r="G49" s="1050">
        <f t="shared" si="1"/>
        <v>39.8666666666676</v>
      </c>
      <c r="H49" s="1051">
        <f t="shared" si="8"/>
        <v>33.988888888863016</v>
      </c>
      <c r="I49" s="1051">
        <f t="shared" si="8"/>
        <v>36.03333333341337</v>
      </c>
      <c r="J49" s="1051">
        <f t="shared" si="8"/>
        <v>37.31111111113819</v>
      </c>
      <c r="K49" s="1052">
        <f t="shared" si="8"/>
        <v>31.433333333407663</v>
      </c>
      <c r="L49" s="1052">
        <f t="shared" si="8"/>
        <v>33.477777777726416</v>
      </c>
      <c r="M49" s="1052">
        <f t="shared" si="8"/>
        <v>34.75555555546285</v>
      </c>
      <c r="N49" s="1053">
        <f t="shared" si="8"/>
        <v>23.0</v>
      </c>
      <c r="O49" s="1053">
        <f t="shared" si="8"/>
        <v>25.044444444528757</v>
      </c>
      <c r="P49" s="1053">
        <f t="shared" si="8"/>
        <v>26.322222222266177</v>
      </c>
      <c r="Q49" s="1054">
        <f t="shared" si="8"/>
        <v>21.72222222225878</v>
      </c>
      <c r="R49" s="1054">
        <f t="shared" si="8"/>
        <v>23.766666666606433</v>
      </c>
      <c r="S49" s="1054">
        <f t="shared" si="8"/>
        <v>25.044444444528757</v>
      </c>
      <c r="T49" s="1055">
        <f t="shared" si="8"/>
        <v>20.444444444512357</v>
      </c>
      <c r="U49" s="1055">
        <f t="shared" si="11"/>
        <v>22.48888888886991</v>
      </c>
      <c r="V49" s="1055">
        <f t="shared" si="11"/>
        <v>23.766666666606433</v>
      </c>
      <c r="W49" s="1056">
        <f t="shared" si="11"/>
        <v>19.166666666620532</v>
      </c>
      <c r="X49" s="1056">
        <f t="shared" si="11"/>
        <v>21.211111111128886</v>
      </c>
      <c r="Y49" s="1056">
        <f t="shared" si="11"/>
        <v>22.48888888886991</v>
      </c>
      <c r="Z49" s="1057">
        <f t="shared" si="11"/>
        <v>17.88888888887521</v>
      </c>
      <c r="AA49" s="1057">
        <f t="shared" si="10"/>
        <v>19.933333333382468</v>
      </c>
      <c r="AB49" s="1057">
        <f t="shared" si="10"/>
        <v>21.211111111128886</v>
      </c>
      <c r="AC49" s="1058">
        <f t="shared" si="10"/>
        <v>16.611111111122888</v>
      </c>
      <c r="AD49" s="1058">
        <f t="shared" si="10"/>
        <v>18.655555555502744</v>
      </c>
      <c r="AE49" s="1058">
        <f t="shared" si="10"/>
        <v>19.933333333382468</v>
      </c>
      <c r="AF49" s="1059">
        <f t="shared" si="10"/>
        <v>15.333333333361768</v>
      </c>
      <c r="AG49" s="1059">
        <f t="shared" si="10"/>
        <v>17.377777777751824</v>
      </c>
      <c r="AH49" s="1059">
        <f t="shared" si="9"/>
        <v>18.655555555502744</v>
      </c>
      <c r="AI49" s="1060">
        <f t="shared" si="9"/>
        <v>14.055555555534344</v>
      </c>
      <c r="AJ49" s="1060">
        <f t="shared" si="9"/>
        <v>16.099999999999998</v>
      </c>
      <c r="AK49" s="1060">
        <f t="shared" si="9"/>
        <v>17.377777777751824</v>
      </c>
    </row>
    <row r="50" spans="8:8" ht="15.75" customHeight="1">
      <c r="D50" s="1049">
        <f t="shared" si="5"/>
        <v>0.13055555555555876</v>
      </c>
      <c r="E50" s="1050">
        <f t="shared" si="0"/>
        <v>37.338888888889805</v>
      </c>
      <c r="F50" s="1050">
        <f t="shared" si="1"/>
        <v>39.42777777777874</v>
      </c>
      <c r="G50" s="1050">
        <f t="shared" si="1"/>
        <v>40.73333333333433</v>
      </c>
      <c r="H50" s="1051">
        <f t="shared" si="8"/>
        <v>34.72777777775191</v>
      </c>
      <c r="I50" s="1051">
        <f t="shared" si="8"/>
        <v>36.81666666674667</v>
      </c>
      <c r="J50" s="1051">
        <f t="shared" si="8"/>
        <v>38.12222222224929</v>
      </c>
      <c r="K50" s="1052">
        <f t="shared" si="8"/>
        <v>32.11666666674097</v>
      </c>
      <c r="L50" s="1052">
        <f t="shared" si="8"/>
        <v>34.20555555550422</v>
      </c>
      <c r="M50" s="1052">
        <f t="shared" si="8"/>
        <v>35.511111111018444</v>
      </c>
      <c r="N50" s="1053">
        <f t="shared" si="8"/>
        <v>23.5</v>
      </c>
      <c r="O50" s="1053">
        <f t="shared" si="8"/>
        <v>25.588888888973155</v>
      </c>
      <c r="P50" s="1053">
        <f t="shared" si="8"/>
        <v>26.89444444448838</v>
      </c>
      <c r="Q50" s="1054">
        <f t="shared" si="8"/>
        <v>22.19444444448098</v>
      </c>
      <c r="R50" s="1054">
        <f t="shared" si="8"/>
        <v>24.283333333273134</v>
      </c>
      <c r="S50" s="1054">
        <f t="shared" si="8"/>
        <v>25.588888888973155</v>
      </c>
      <c r="T50" s="1055">
        <f t="shared" si="8"/>
        <v>20.888888888956757</v>
      </c>
      <c r="U50" s="1055">
        <f t="shared" si="11"/>
        <v>22.97777777775881</v>
      </c>
      <c r="V50" s="1055">
        <f t="shared" si="11"/>
        <v>24.283333333273134</v>
      </c>
      <c r="W50" s="1056">
        <f t="shared" si="11"/>
        <v>19.583333333287232</v>
      </c>
      <c r="X50" s="1056">
        <f t="shared" si="11"/>
        <v>21.672222222239988</v>
      </c>
      <c r="Y50" s="1056">
        <f t="shared" si="11"/>
        <v>22.97777777775881</v>
      </c>
      <c r="Z50" s="1057">
        <f t="shared" si="11"/>
        <v>18.27777777776411</v>
      </c>
      <c r="AA50" s="1057">
        <f t="shared" si="10"/>
        <v>20.366666666715766</v>
      </c>
      <c r="AB50" s="1057">
        <f t="shared" si="10"/>
        <v>21.672222222239988</v>
      </c>
      <c r="AC50" s="1058">
        <f t="shared" si="10"/>
        <v>16.972222222233988</v>
      </c>
      <c r="AD50" s="1058">
        <f t="shared" si="10"/>
        <v>19.061111111058345</v>
      </c>
      <c r="AE50" s="1058">
        <f t="shared" si="10"/>
        <v>20.366666666715766</v>
      </c>
      <c r="AF50" s="1059">
        <f t="shared" si="10"/>
        <v>15.666666666695068</v>
      </c>
      <c r="AG50" s="1059">
        <f t="shared" si="10"/>
        <v>17.755555555529625</v>
      </c>
      <c r="AH50" s="1059">
        <f t="shared" si="9"/>
        <v>19.061111111058345</v>
      </c>
      <c r="AI50" s="1060">
        <f t="shared" si="9"/>
        <v>14.361111111089945</v>
      </c>
      <c r="AJ50" s="1060">
        <f t="shared" si="9"/>
        <v>16.45</v>
      </c>
      <c r="AK50" s="1060">
        <f t="shared" si="9"/>
        <v>17.755555555529625</v>
      </c>
    </row>
    <row r="51" spans="8:8" ht="15.75" customHeight="1">
      <c r="D51" s="1049">
        <f t="shared" si="5"/>
        <v>0.13333333333333677</v>
      </c>
      <c r="E51" s="1050">
        <f t="shared" si="0"/>
        <v>38.13333333333432</v>
      </c>
      <c r="F51" s="1050">
        <f t="shared" si="1"/>
        <v>40.2666666666677</v>
      </c>
      <c r="G51" s="1050">
        <f t="shared" si="1"/>
        <v>41.600000000001074</v>
      </c>
      <c r="H51" s="1051">
        <f t="shared" si="8"/>
        <v>35.46666666664081</v>
      </c>
      <c r="I51" s="1051">
        <f t="shared" si="8"/>
        <v>37.600000000079966</v>
      </c>
      <c r="J51" s="1051">
        <f t="shared" si="8"/>
        <v>38.93333333336039</v>
      </c>
      <c r="K51" s="1052">
        <f t="shared" si="8"/>
        <v>32.80000000007427</v>
      </c>
      <c r="L51" s="1052">
        <f t="shared" si="8"/>
        <v>34.93333333328202</v>
      </c>
      <c r="M51" s="1052">
        <f t="shared" si="8"/>
        <v>36.26666666657395</v>
      </c>
      <c r="N51" s="1053">
        <f t="shared" si="8"/>
        <v>24.0</v>
      </c>
      <c r="O51" s="1053">
        <f t="shared" si="8"/>
        <v>26.133333333417557</v>
      </c>
      <c r="P51" s="1053">
        <f t="shared" si="8"/>
        <v>27.466666666710577</v>
      </c>
      <c r="Q51" s="1054">
        <f t="shared" si="8"/>
        <v>22.66666666670318</v>
      </c>
      <c r="R51" s="1054">
        <f t="shared" si="8"/>
        <v>24.799999999939836</v>
      </c>
      <c r="S51" s="1054">
        <f t="shared" si="8"/>
        <v>26.133333333417557</v>
      </c>
      <c r="T51" s="1055">
        <f t="shared" si="8"/>
        <v>21.333333333401157</v>
      </c>
      <c r="U51" s="1055">
        <f t="shared" si="11"/>
        <v>23.466666666647708</v>
      </c>
      <c r="V51" s="1055">
        <f t="shared" si="11"/>
        <v>24.799999999939836</v>
      </c>
      <c r="W51" s="1056">
        <f t="shared" si="11"/>
        <v>19.999999999953932</v>
      </c>
      <c r="X51" s="1056">
        <f t="shared" si="11"/>
        <v>22.13333333335109</v>
      </c>
      <c r="Y51" s="1056">
        <f t="shared" si="11"/>
        <v>23.466666666647708</v>
      </c>
      <c r="Z51" s="1057">
        <f t="shared" si="11"/>
        <v>18.66666666665301</v>
      </c>
      <c r="AA51" s="1057">
        <f t="shared" si="10"/>
        <v>20.800000000049067</v>
      </c>
      <c r="AB51" s="1057">
        <f t="shared" si="10"/>
        <v>22.13333333335109</v>
      </c>
      <c r="AC51" s="1058">
        <f t="shared" si="10"/>
        <v>17.333333333345088</v>
      </c>
      <c r="AD51" s="1058">
        <f t="shared" si="10"/>
        <v>19.466666666613946</v>
      </c>
      <c r="AE51" s="1058">
        <f t="shared" si="10"/>
        <v>20.800000000049067</v>
      </c>
      <c r="AF51" s="1059">
        <f t="shared" si="10"/>
        <v>16.00000000002837</v>
      </c>
      <c r="AG51" s="1059">
        <f t="shared" si="10"/>
        <v>18.133333333307423</v>
      </c>
      <c r="AH51" s="1059">
        <f t="shared" si="9"/>
        <v>19.466666666613946</v>
      </c>
      <c r="AI51" s="1060">
        <f t="shared" si="9"/>
        <v>14.666666666645545</v>
      </c>
      <c r="AJ51" s="1060">
        <f t="shared" si="9"/>
        <v>16.799999999999997</v>
      </c>
      <c r="AK51" s="1060">
        <f t="shared" si="9"/>
        <v>18.133333333307423</v>
      </c>
    </row>
    <row r="52" spans="8:8" ht="15.75" customHeight="1">
      <c r="D52" s="1049">
        <f t="shared" si="5"/>
        <v>0.13611111111111476</v>
      </c>
      <c r="E52" s="1050">
        <f t="shared" si="0"/>
        <v>38.92777777777882</v>
      </c>
      <c r="F52" s="1050">
        <f t="shared" si="1"/>
        <v>41.105555555556656</v>
      </c>
      <c r="G52" s="1050">
        <f t="shared" si="1"/>
        <v>42.466666666667805</v>
      </c>
      <c r="H52" s="1051">
        <f t="shared" si="8"/>
        <v>36.20555555552971</v>
      </c>
      <c r="I52" s="1051">
        <f t="shared" si="8"/>
        <v>38.38333333341327</v>
      </c>
      <c r="J52" s="1051">
        <f t="shared" si="12" ref="J52:V74">J53-(J$363/360)</f>
        <v>39.74444444447149</v>
      </c>
      <c r="K52" s="1052">
        <f t="shared" si="12"/>
        <v>33.48333333340757</v>
      </c>
      <c r="L52" s="1052">
        <f t="shared" si="12"/>
        <v>35.66111111105982</v>
      </c>
      <c r="M52" s="1052">
        <f t="shared" si="12"/>
        <v>37.02222222212945</v>
      </c>
      <c r="N52" s="1053">
        <f t="shared" si="12"/>
        <v>24.5</v>
      </c>
      <c r="O52" s="1053">
        <f t="shared" si="12"/>
        <v>26.677777777861955</v>
      </c>
      <c r="P52" s="1053">
        <f t="shared" si="12"/>
        <v>28.038888888932778</v>
      </c>
      <c r="Q52" s="1054">
        <f t="shared" si="12"/>
        <v>23.13888888892538</v>
      </c>
      <c r="R52" s="1054">
        <f t="shared" si="12"/>
        <v>25.316666666606533</v>
      </c>
      <c r="S52" s="1054">
        <f t="shared" si="12"/>
        <v>26.677777777861955</v>
      </c>
      <c r="T52" s="1055">
        <f t="shared" si="12"/>
        <v>21.777777777845557</v>
      </c>
      <c r="U52" s="1055">
        <f t="shared" si="11"/>
        <v>23.95555555553661</v>
      </c>
      <c r="V52" s="1055">
        <f t="shared" si="11"/>
        <v>25.316666666606533</v>
      </c>
      <c r="W52" s="1056">
        <f t="shared" si="11"/>
        <v>20.416666666620632</v>
      </c>
      <c r="X52" s="1056">
        <f t="shared" si="11"/>
        <v>22.594444444462187</v>
      </c>
      <c r="Y52" s="1056">
        <f t="shared" si="11"/>
        <v>23.95555555553661</v>
      </c>
      <c r="Z52" s="1057">
        <f t="shared" si="11"/>
        <v>19.05555555554191</v>
      </c>
      <c r="AA52" s="1057">
        <f t="shared" si="10"/>
        <v>21.233333333382365</v>
      </c>
      <c r="AB52" s="1057">
        <f t="shared" si="10"/>
        <v>22.594444444462187</v>
      </c>
      <c r="AC52" s="1058">
        <f t="shared" si="10"/>
        <v>17.694444444456188</v>
      </c>
      <c r="AD52" s="1058">
        <f t="shared" si="10"/>
        <v>19.872222222169544</v>
      </c>
      <c r="AE52" s="1058">
        <f t="shared" si="10"/>
        <v>21.233333333382365</v>
      </c>
      <c r="AF52" s="1059">
        <f t="shared" si="10"/>
        <v>16.33333333336167</v>
      </c>
      <c r="AG52" s="1059">
        <f t="shared" si="10"/>
        <v>18.511111111085224</v>
      </c>
      <c r="AH52" s="1059">
        <f t="shared" si="9"/>
        <v>19.872222222169544</v>
      </c>
      <c r="AI52" s="1060">
        <f t="shared" si="9"/>
        <v>14.972222222201145</v>
      </c>
      <c r="AJ52" s="1060">
        <f t="shared" si="9"/>
        <v>17.15</v>
      </c>
      <c r="AK52" s="1060">
        <f t="shared" si="9"/>
        <v>18.511111111085224</v>
      </c>
    </row>
    <row r="53" spans="8:8" ht="15.75" customHeight="1">
      <c r="D53" s="1049">
        <f t="shared" si="5"/>
        <v>0.13888888888889278</v>
      </c>
      <c r="E53" s="1050">
        <f t="shared" si="0"/>
        <v>39.72222222222334</v>
      </c>
      <c r="F53" s="1050">
        <f t="shared" si="1"/>
        <v>41.94444444444562</v>
      </c>
      <c r="G53" s="1050">
        <f t="shared" si="1"/>
        <v>43.33333333333455</v>
      </c>
      <c r="H53" s="1051">
        <f t="shared" si="13" ref="H53:H83">H54-(H$363/360)</f>
        <v>36.944444444418615</v>
      </c>
      <c r="I53" s="1051">
        <f t="shared" si="14" ref="I53:I83">I54-(I$363/360)</f>
        <v>39.16666666674657</v>
      </c>
      <c r="J53" s="1051">
        <f t="shared" si="12"/>
        <v>40.55555555558259</v>
      </c>
      <c r="K53" s="1052">
        <f t="shared" si="12"/>
        <v>34.16666666674087</v>
      </c>
      <c r="L53" s="1052">
        <f t="shared" si="12"/>
        <v>36.38888888883762</v>
      </c>
      <c r="M53" s="1052">
        <f t="shared" si="12"/>
        <v>37.777777777685046</v>
      </c>
      <c r="N53" s="1053">
        <f t="shared" si="12"/>
        <v>25.0</v>
      </c>
      <c r="O53" s="1053">
        <f t="shared" si="12"/>
        <v>27.222222222306357</v>
      </c>
      <c r="P53" s="1053">
        <f t="shared" si="12"/>
        <v>28.611111111154976</v>
      </c>
      <c r="Q53" s="1054">
        <f t="shared" si="12"/>
        <v>23.61111111114758</v>
      </c>
      <c r="R53" s="1054">
        <f t="shared" si="12"/>
        <v>25.833333333273234</v>
      </c>
      <c r="S53" s="1054">
        <f t="shared" si="12"/>
        <v>27.222222222306357</v>
      </c>
      <c r="T53" s="1055">
        <f t="shared" si="12"/>
        <v>22.222222222289957</v>
      </c>
      <c r="U53" s="1055">
        <f t="shared" si="11"/>
        <v>24.44444444442551</v>
      </c>
      <c r="V53" s="1055">
        <f t="shared" si="11"/>
        <v>25.833333333273234</v>
      </c>
      <c r="W53" s="1056">
        <f t="shared" si="11"/>
        <v>20.83333333328733</v>
      </c>
      <c r="X53" s="1056">
        <f t="shared" si="11"/>
        <v>23.05555555557329</v>
      </c>
      <c r="Y53" s="1056">
        <f t="shared" si="11"/>
        <v>24.44444444442551</v>
      </c>
      <c r="Z53" s="1057">
        <f t="shared" si="11"/>
        <v>19.44444444443081</v>
      </c>
      <c r="AA53" s="1057">
        <f t="shared" si="10"/>
        <v>21.666666666715667</v>
      </c>
      <c r="AB53" s="1057">
        <f t="shared" si="10"/>
        <v>23.05555555557329</v>
      </c>
      <c r="AC53" s="1058">
        <f t="shared" si="10"/>
        <v>18.055555555567288</v>
      </c>
      <c r="AD53" s="1058">
        <f t="shared" si="10"/>
        <v>20.277777777725145</v>
      </c>
      <c r="AE53" s="1058">
        <f t="shared" si="10"/>
        <v>21.666666666715667</v>
      </c>
      <c r="AF53" s="1059">
        <f t="shared" si="10"/>
        <v>16.66666666669497</v>
      </c>
      <c r="AG53" s="1059">
        <f t="shared" si="10"/>
        <v>18.888888888863022</v>
      </c>
      <c r="AH53" s="1059">
        <f t="shared" si="9"/>
        <v>20.277777777725145</v>
      </c>
      <c r="AI53" s="1060">
        <f t="shared" si="9"/>
        <v>15.277777777756745</v>
      </c>
      <c r="AJ53" s="1060">
        <f t="shared" si="9"/>
        <v>17.5</v>
      </c>
      <c r="AK53" s="1060">
        <f t="shared" si="9"/>
        <v>18.888888888863022</v>
      </c>
    </row>
    <row r="54" spans="8:8" ht="15.75" customHeight="1">
      <c r="D54" s="1049">
        <f t="shared" si="5"/>
        <v>0.14166666666667077</v>
      </c>
      <c r="E54" s="1050">
        <f t="shared" si="0"/>
        <v>40.51666666666784</v>
      </c>
      <c r="F54" s="1050">
        <f t="shared" si="1"/>
        <v>42.783333333334575</v>
      </c>
      <c r="G54" s="1050">
        <f t="shared" si="1"/>
        <v>44.20000000000128</v>
      </c>
      <c r="H54" s="1051">
        <f t="shared" si="13"/>
        <v>37.683333333307516</v>
      </c>
      <c r="I54" s="1051">
        <f t="shared" si="14"/>
        <v>39.95000000007987</v>
      </c>
      <c r="J54" s="1051">
        <f t="shared" si="12"/>
        <v>41.36666666669369</v>
      </c>
      <c r="K54" s="1052">
        <f t="shared" si="12"/>
        <v>34.85000000007417</v>
      </c>
      <c r="L54" s="1052">
        <f t="shared" si="12"/>
        <v>37.116666666615416</v>
      </c>
      <c r="M54" s="1052">
        <f t="shared" si="12"/>
        <v>38.53333333324055</v>
      </c>
      <c r="N54" s="1053">
        <f t="shared" si="12"/>
        <v>25.5</v>
      </c>
      <c r="O54" s="1053">
        <f t="shared" si="12"/>
        <v>27.766666666750755</v>
      </c>
      <c r="P54" s="1053">
        <f t="shared" si="12"/>
        <v>29.183333333377178</v>
      </c>
      <c r="Q54" s="1054">
        <f t="shared" si="12"/>
        <v>24.08333333336978</v>
      </c>
      <c r="R54" s="1054">
        <f t="shared" si="12"/>
        <v>26.349999999939936</v>
      </c>
      <c r="S54" s="1054">
        <f t="shared" si="12"/>
        <v>27.766666666750755</v>
      </c>
      <c r="T54" s="1055">
        <f t="shared" si="12"/>
        <v>22.666666666734358</v>
      </c>
      <c r="U54" s="1055">
        <f t="shared" si="11"/>
        <v>24.93333333331441</v>
      </c>
      <c r="V54" s="1055">
        <f t="shared" si="11"/>
        <v>26.349999999939936</v>
      </c>
      <c r="W54" s="1056">
        <f t="shared" si="11"/>
        <v>21.24999999995403</v>
      </c>
      <c r="X54" s="1056">
        <f t="shared" si="11"/>
        <v>23.516666666684387</v>
      </c>
      <c r="Y54" s="1056">
        <f t="shared" si="11"/>
        <v>24.93333333331441</v>
      </c>
      <c r="Z54" s="1057">
        <f t="shared" si="11"/>
        <v>19.83333333331971</v>
      </c>
      <c r="AA54" s="1057">
        <f t="shared" si="10"/>
        <v>22.100000000048965</v>
      </c>
      <c r="AB54" s="1057">
        <f t="shared" si="10"/>
        <v>23.516666666684387</v>
      </c>
      <c r="AC54" s="1058">
        <f t="shared" si="10"/>
        <v>18.41666666667839</v>
      </c>
      <c r="AD54" s="1058">
        <f t="shared" si="10"/>
        <v>20.683333333280746</v>
      </c>
      <c r="AE54" s="1058">
        <f t="shared" si="10"/>
        <v>22.100000000048965</v>
      </c>
      <c r="AF54" s="1059">
        <f t="shared" si="10"/>
        <v>17.00000000002827</v>
      </c>
      <c r="AG54" s="1059">
        <f t="shared" si="10"/>
        <v>19.266666666640823</v>
      </c>
      <c r="AH54" s="1059">
        <f t="shared" si="9"/>
        <v>20.683333333280746</v>
      </c>
      <c r="AI54" s="1060">
        <f t="shared" si="9"/>
        <v>15.583333333312344</v>
      </c>
      <c r="AJ54" s="1060">
        <f t="shared" si="9"/>
        <v>17.849999999999998</v>
      </c>
      <c r="AK54" s="1060">
        <f t="shared" si="9"/>
        <v>19.266666666640823</v>
      </c>
    </row>
    <row r="55" spans="8:8" ht="15.75" customHeight="1">
      <c r="D55" s="1049">
        <f t="shared" si="5"/>
        <v>0.14444444444444876</v>
      </c>
      <c r="E55" s="1050">
        <f t="shared" si="0"/>
        <v>41.311111111112346</v>
      </c>
      <c r="F55" s="1050">
        <f t="shared" si="1"/>
        <v>43.62222222222353</v>
      </c>
      <c r="G55" s="1050">
        <f t="shared" si="1"/>
        <v>45.06666666666801</v>
      </c>
      <c r="H55" s="1051">
        <f t="shared" si="13"/>
        <v>38.42222222219641</v>
      </c>
      <c r="I55" s="1051">
        <f t="shared" si="14"/>
        <v>40.73333333341317</v>
      </c>
      <c r="J55" s="1051">
        <f t="shared" si="12"/>
        <v>42.17777777780479</v>
      </c>
      <c r="K55" s="1052">
        <f t="shared" si="12"/>
        <v>35.53333333340747</v>
      </c>
      <c r="L55" s="1052">
        <f t="shared" si="12"/>
        <v>37.84444444439322</v>
      </c>
      <c r="M55" s="1052">
        <f t="shared" si="12"/>
        <v>39.288888888796144</v>
      </c>
      <c r="N55" s="1053">
        <f t="shared" si="12"/>
        <v>26.0</v>
      </c>
      <c r="O55" s="1053">
        <f t="shared" si="12"/>
        <v>28.311111111195157</v>
      </c>
      <c r="P55" s="1053">
        <f t="shared" si="12"/>
        <v>29.755555555599376</v>
      </c>
      <c r="Q55" s="1054">
        <f t="shared" si="12"/>
        <v>24.55555555559198</v>
      </c>
      <c r="R55" s="1054">
        <f t="shared" si="12"/>
        <v>26.866666666606633</v>
      </c>
      <c r="S55" s="1054">
        <f t="shared" si="12"/>
        <v>28.311111111195157</v>
      </c>
      <c r="T55" s="1055">
        <f t="shared" si="12"/>
        <v>23.111111111178758</v>
      </c>
      <c r="U55" s="1055">
        <f t="shared" si="11"/>
        <v>25.42222222220331</v>
      </c>
      <c r="V55" s="1055">
        <f t="shared" si="11"/>
        <v>26.866666666606633</v>
      </c>
      <c r="W55" s="1056">
        <f t="shared" si="11"/>
        <v>21.66666666662073</v>
      </c>
      <c r="X55" s="1056">
        <f t="shared" si="11"/>
        <v>23.977777777795488</v>
      </c>
      <c r="Y55" s="1056">
        <f t="shared" si="11"/>
        <v>25.42222222220331</v>
      </c>
      <c r="Z55" s="1057">
        <f t="shared" si="11"/>
        <v>20.22222222220861</v>
      </c>
      <c r="AA55" s="1057">
        <f t="shared" si="10"/>
        <v>22.533333333382267</v>
      </c>
      <c r="AB55" s="1057">
        <f t="shared" si="10"/>
        <v>23.977777777795488</v>
      </c>
      <c r="AC55" s="1058">
        <f t="shared" si="10"/>
        <v>18.77777777778949</v>
      </c>
      <c r="AD55" s="1058">
        <f t="shared" si="10"/>
        <v>21.088888888836344</v>
      </c>
      <c r="AE55" s="1058">
        <f t="shared" si="10"/>
        <v>22.533333333382267</v>
      </c>
      <c r="AF55" s="1059">
        <f t="shared" si="10"/>
        <v>17.33333333336157</v>
      </c>
      <c r="AG55" s="1059">
        <f t="shared" si="10"/>
        <v>19.644444444418625</v>
      </c>
      <c r="AH55" s="1059">
        <f t="shared" si="9"/>
        <v>21.088888888836344</v>
      </c>
      <c r="AI55" s="1060">
        <f t="shared" si="9"/>
        <v>15.888888888867944</v>
      </c>
      <c r="AJ55" s="1060">
        <f t="shared" si="9"/>
        <v>18.2</v>
      </c>
      <c r="AK55" s="1060">
        <f t="shared" si="9"/>
        <v>19.644444444418625</v>
      </c>
    </row>
    <row r="56" spans="8:8" ht="15.75" customHeight="1">
      <c r="D56" s="1049">
        <f t="shared" si="5"/>
        <v>0.14722222222222678</v>
      </c>
      <c r="E56" s="1050">
        <f t="shared" si="0"/>
        <v>42.10555555555686</v>
      </c>
      <c r="F56" s="1050">
        <f t="shared" si="1"/>
        <v>44.46111111111249</v>
      </c>
      <c r="G56" s="1050">
        <f t="shared" si="1"/>
        <v>45.93333333333476</v>
      </c>
      <c r="H56" s="1051">
        <f t="shared" si="13"/>
        <v>39.16111111108531</v>
      </c>
      <c r="I56" s="1051">
        <f t="shared" si="14"/>
        <v>41.51666666674647</v>
      </c>
      <c r="J56" s="1051">
        <f t="shared" si="12"/>
        <v>42.98888888891589</v>
      </c>
      <c r="K56" s="1052">
        <f t="shared" si="12"/>
        <v>36.21666666674077</v>
      </c>
      <c r="L56" s="1052">
        <f t="shared" si="12"/>
        <v>38.57222222217102</v>
      </c>
      <c r="M56" s="1052">
        <f t="shared" si="12"/>
        <v>40.04444444435165</v>
      </c>
      <c r="N56" s="1053">
        <f t="shared" si="12"/>
        <v>26.5</v>
      </c>
      <c r="O56" s="1053">
        <f t="shared" si="12"/>
        <v>28.855555555639555</v>
      </c>
      <c r="P56" s="1053">
        <f t="shared" si="12"/>
        <v>30.327777777821577</v>
      </c>
      <c r="Q56" s="1054">
        <f t="shared" si="12"/>
        <v>25.02777777781418</v>
      </c>
      <c r="R56" s="1054">
        <f t="shared" si="12"/>
        <v>27.383333333273335</v>
      </c>
      <c r="S56" s="1054">
        <f t="shared" si="12"/>
        <v>28.855555555639555</v>
      </c>
      <c r="T56" s="1055">
        <f t="shared" si="12"/>
        <v>23.555555555623158</v>
      </c>
      <c r="U56" s="1055">
        <f t="shared" si="11"/>
        <v>25.91111111109221</v>
      </c>
      <c r="V56" s="1055">
        <f t="shared" si="11"/>
        <v>27.383333333273335</v>
      </c>
      <c r="W56" s="1056">
        <f t="shared" si="11"/>
        <v>22.08333333328743</v>
      </c>
      <c r="X56" s="1056">
        <f t="shared" si="11"/>
        <v>24.43888888890659</v>
      </c>
      <c r="Y56" s="1056">
        <f t="shared" si="11"/>
        <v>25.91111111109221</v>
      </c>
      <c r="Z56" s="1057">
        <f t="shared" si="11"/>
        <v>20.61111111109751</v>
      </c>
      <c r="AA56" s="1057">
        <f t="shared" si="10"/>
        <v>22.966666666715568</v>
      </c>
      <c r="AB56" s="1057">
        <f t="shared" si="10"/>
        <v>24.43888888890659</v>
      </c>
      <c r="AC56" s="1058">
        <f t="shared" si="10"/>
        <v>19.13888888890059</v>
      </c>
      <c r="AD56" s="1058">
        <f t="shared" si="10"/>
        <v>21.494444444391945</v>
      </c>
      <c r="AE56" s="1058">
        <f t="shared" si="10"/>
        <v>22.966666666715568</v>
      </c>
      <c r="AF56" s="1059">
        <f t="shared" si="10"/>
        <v>17.66666666669487</v>
      </c>
      <c r="AG56" s="1059">
        <f t="shared" si="10"/>
        <v>20.022222222196422</v>
      </c>
      <c r="AH56" s="1059">
        <f t="shared" si="9"/>
        <v>21.494444444391945</v>
      </c>
      <c r="AI56" s="1060">
        <f t="shared" si="9"/>
        <v>16.194444444423542</v>
      </c>
      <c r="AJ56" s="1060">
        <f t="shared" si="9"/>
        <v>18.549999999999997</v>
      </c>
      <c r="AK56" s="1060">
        <f t="shared" si="9"/>
        <v>20.022222222196422</v>
      </c>
    </row>
    <row r="57" spans="8:8" ht="15.75" customHeight="1">
      <c r="D57" s="1049">
        <f t="shared" si="5"/>
        <v>0.15000000000000477</v>
      </c>
      <c r="E57" s="1050">
        <f t="shared" si="0"/>
        <v>42.90000000000136</v>
      </c>
      <c r="F57" s="1050">
        <f t="shared" si="1"/>
        <v>45.30000000000144</v>
      </c>
      <c r="G57" s="1050">
        <f t="shared" si="1"/>
        <v>46.80000000000149</v>
      </c>
      <c r="H57" s="1051">
        <f t="shared" si="13"/>
        <v>39.89999999997421</v>
      </c>
      <c r="I57" s="1051">
        <f t="shared" si="14"/>
        <v>42.30000000007977</v>
      </c>
      <c r="J57" s="1051">
        <f t="shared" si="12"/>
        <v>43.80000000002699</v>
      </c>
      <c r="K57" s="1052">
        <f t="shared" si="12"/>
        <v>36.90000000007407</v>
      </c>
      <c r="L57" s="1052">
        <f t="shared" si="12"/>
        <v>39.29999999994882</v>
      </c>
      <c r="M57" s="1052">
        <f t="shared" si="12"/>
        <v>40.79999999990715</v>
      </c>
      <c r="N57" s="1053">
        <f t="shared" si="12"/>
        <v>27.0</v>
      </c>
      <c r="O57" s="1053">
        <f t="shared" si="12"/>
        <v>29.400000000083956</v>
      </c>
      <c r="P57" s="1053">
        <f t="shared" si="12"/>
        <v>30.90000000004378</v>
      </c>
      <c r="Q57" s="1054">
        <f t="shared" si="12"/>
        <v>25.50000000003638</v>
      </c>
      <c r="R57" s="1054">
        <f t="shared" si="12"/>
        <v>27.899999999940036</v>
      </c>
      <c r="S57" s="1054">
        <f t="shared" si="12"/>
        <v>29.400000000083956</v>
      </c>
      <c r="T57" s="1055">
        <f t="shared" si="12"/>
        <v>24.00000000006756</v>
      </c>
      <c r="U57" s="1055">
        <f t="shared" si="11"/>
        <v>26.39999999998111</v>
      </c>
      <c r="V57" s="1055">
        <f t="shared" si="11"/>
        <v>27.899999999940036</v>
      </c>
      <c r="W57" s="1056">
        <f t="shared" si="11"/>
        <v>22.49999999995413</v>
      </c>
      <c r="X57" s="1056">
        <f t="shared" si="11"/>
        <v>24.900000000017688</v>
      </c>
      <c r="Y57" s="1056">
        <f t="shared" si="11"/>
        <v>26.39999999998111</v>
      </c>
      <c r="Z57" s="1057">
        <f t="shared" si="11"/>
        <v>20.99999999998641</v>
      </c>
      <c r="AA57" s="1057">
        <f t="shared" si="10"/>
        <v>23.400000000048866</v>
      </c>
      <c r="AB57" s="1057">
        <f t="shared" si="10"/>
        <v>24.900000000017688</v>
      </c>
      <c r="AC57" s="1058">
        <f t="shared" si="10"/>
        <v>19.50000000001169</v>
      </c>
      <c r="AD57" s="1058">
        <f t="shared" si="10"/>
        <v>21.899999999947546</v>
      </c>
      <c r="AE57" s="1058">
        <f t="shared" si="10"/>
        <v>23.400000000048866</v>
      </c>
      <c r="AF57" s="1059">
        <f t="shared" si="10"/>
        <v>18.00000000002817</v>
      </c>
      <c r="AG57" s="1059">
        <f t="shared" si="10"/>
        <v>20.399999999974224</v>
      </c>
      <c r="AH57" s="1059">
        <f t="shared" si="9"/>
        <v>21.899999999947546</v>
      </c>
      <c r="AI57" s="1060">
        <f t="shared" si="9"/>
        <v>16.499999999979142</v>
      </c>
      <c r="AJ57" s="1060">
        <f t="shared" si="9"/>
        <v>18.9</v>
      </c>
      <c r="AK57" s="1060">
        <f t="shared" si="9"/>
        <v>20.399999999974224</v>
      </c>
    </row>
    <row r="58" spans="8:8" ht="15.75" customHeight="1">
      <c r="D58" s="1049">
        <f t="shared" si="5"/>
        <v>0.15277777777778276</v>
      </c>
      <c r="E58" s="1050">
        <f t="shared" si="0"/>
        <v>43.69444444444587</v>
      </c>
      <c r="F58" s="1050">
        <f t="shared" si="1"/>
        <v>46.13888888889039</v>
      </c>
      <c r="G58" s="1050">
        <f t="shared" si="1"/>
        <v>47.66666666666822</v>
      </c>
      <c r="H58" s="1051">
        <f t="shared" si="13"/>
        <v>40.638888888863114</v>
      </c>
      <c r="I58" s="1051">
        <f t="shared" si="14"/>
        <v>43.083333333413066</v>
      </c>
      <c r="J58" s="1051">
        <f t="shared" si="12"/>
        <v>44.61111111113809</v>
      </c>
      <c r="K58" s="1052">
        <f t="shared" si="12"/>
        <v>37.58333333340737</v>
      </c>
      <c r="L58" s="1052">
        <f t="shared" si="12"/>
        <v>40.02777777772662</v>
      </c>
      <c r="M58" s="1052">
        <f t="shared" si="12"/>
        <v>41.55555555546265</v>
      </c>
      <c r="N58" s="1053">
        <f t="shared" si="12"/>
        <v>27.5</v>
      </c>
      <c r="O58" s="1053">
        <f t="shared" si="12"/>
        <v>29.944444444528354</v>
      </c>
      <c r="P58" s="1053">
        <f t="shared" si="12"/>
        <v>31.472222222265977</v>
      </c>
      <c r="Q58" s="1054">
        <f t="shared" si="12"/>
        <v>25.97222222225858</v>
      </c>
      <c r="R58" s="1054">
        <f t="shared" si="12"/>
        <v>28.416666666606734</v>
      </c>
      <c r="S58" s="1054">
        <f t="shared" si="12"/>
        <v>29.944444444528354</v>
      </c>
      <c r="T58" s="1055">
        <f t="shared" si="12"/>
        <v>24.44444444451196</v>
      </c>
      <c r="U58" s="1055">
        <f t="shared" si="11"/>
        <v>26.88888888887001</v>
      </c>
      <c r="V58" s="1055">
        <f t="shared" si="11"/>
        <v>28.416666666606734</v>
      </c>
      <c r="W58" s="1056">
        <f t="shared" si="11"/>
        <v>22.91666666662083</v>
      </c>
      <c r="X58" s="1056">
        <f t="shared" si="11"/>
        <v>25.36111111112879</v>
      </c>
      <c r="Y58" s="1056">
        <f t="shared" si="11"/>
        <v>26.88888888887001</v>
      </c>
      <c r="Z58" s="1057">
        <f t="shared" si="11"/>
        <v>21.38888888887531</v>
      </c>
      <c r="AA58" s="1057">
        <f t="shared" si="10"/>
        <v>23.833333333382168</v>
      </c>
      <c r="AB58" s="1057">
        <f t="shared" si="10"/>
        <v>25.36111111112879</v>
      </c>
      <c r="AC58" s="1058">
        <f t="shared" si="10"/>
        <v>19.86111111112279</v>
      </c>
      <c r="AD58" s="1058">
        <f t="shared" si="10"/>
        <v>22.305555555503144</v>
      </c>
      <c r="AE58" s="1058">
        <f t="shared" si="10"/>
        <v>23.833333333382168</v>
      </c>
      <c r="AF58" s="1059">
        <f t="shared" si="10"/>
        <v>18.333333333361466</v>
      </c>
      <c r="AG58" s="1059">
        <f t="shared" si="10"/>
        <v>20.777777777752025</v>
      </c>
      <c r="AH58" s="1059">
        <f t="shared" si="9"/>
        <v>22.305555555503144</v>
      </c>
      <c r="AI58" s="1060">
        <f t="shared" si="9"/>
        <v>16.805555555534742</v>
      </c>
      <c r="AJ58" s="1060">
        <f t="shared" si="9"/>
        <v>19.25</v>
      </c>
      <c r="AK58" s="1060">
        <f t="shared" si="9"/>
        <v>20.777777777752025</v>
      </c>
    </row>
    <row r="59" spans="8:8" ht="15.75" customHeight="1">
      <c r="D59" s="1049">
        <f t="shared" si="5"/>
        <v>0.15555555555556078</v>
      </c>
      <c r="E59" s="1050">
        <f t="shared" si="0"/>
        <v>44.48888888889038</v>
      </c>
      <c r="F59" s="1050">
        <f t="shared" si="1"/>
        <v>46.97777777777935</v>
      </c>
      <c r="G59" s="1050">
        <f t="shared" si="1"/>
        <v>48.533333333334966</v>
      </c>
      <c r="H59" s="1051">
        <f t="shared" si="13"/>
        <v>41.377777777752016</v>
      </c>
      <c r="I59" s="1051">
        <f t="shared" si="14"/>
        <v>43.86666666674637</v>
      </c>
      <c r="J59" s="1051">
        <f t="shared" si="12"/>
        <v>45.42222222224919</v>
      </c>
      <c r="K59" s="1052">
        <f t="shared" si="12"/>
        <v>38.26666666674067</v>
      </c>
      <c r="L59" s="1052">
        <f t="shared" si="12"/>
        <v>40.755555555504415</v>
      </c>
      <c r="M59" s="1052">
        <f t="shared" si="12"/>
        <v>42.31111111101815</v>
      </c>
      <c r="N59" s="1053">
        <f t="shared" si="12"/>
        <v>28.0</v>
      </c>
      <c r="O59" s="1053">
        <f t="shared" si="12"/>
        <v>30.488888888972756</v>
      </c>
      <c r="P59" s="1053">
        <f t="shared" si="12"/>
        <v>32.04444444448818</v>
      </c>
      <c r="Q59" s="1054">
        <f t="shared" si="12"/>
        <v>26.44444444448078</v>
      </c>
      <c r="R59" s="1054">
        <f t="shared" si="12"/>
        <v>28.933333333273435</v>
      </c>
      <c r="S59" s="1054">
        <f t="shared" si="12"/>
        <v>30.488888888972756</v>
      </c>
      <c r="T59" s="1055">
        <f t="shared" si="12"/>
        <v>24.88888888895636</v>
      </c>
      <c r="U59" s="1055">
        <f t="shared" si="11"/>
        <v>27.377777777758908</v>
      </c>
      <c r="V59" s="1055">
        <f t="shared" si="11"/>
        <v>28.933333333273435</v>
      </c>
      <c r="W59" s="1056">
        <f t="shared" si="11"/>
        <v>23.33333333328753</v>
      </c>
      <c r="X59" s="1056">
        <f t="shared" si="11"/>
        <v>25.822222222239887</v>
      </c>
      <c r="Y59" s="1056">
        <f t="shared" si="11"/>
        <v>27.377777777758908</v>
      </c>
      <c r="Z59" s="1057">
        <f t="shared" si="11"/>
        <v>21.77777777776421</v>
      </c>
      <c r="AA59" s="1057">
        <f t="shared" si="10"/>
        <v>24.266666666715466</v>
      </c>
      <c r="AB59" s="1057">
        <f t="shared" si="10"/>
        <v>25.822222222239887</v>
      </c>
      <c r="AC59" s="1058">
        <f t="shared" si="10"/>
        <v>20.22222222223389</v>
      </c>
      <c r="AD59" s="1058">
        <f t="shared" si="10"/>
        <v>22.711111111058745</v>
      </c>
      <c r="AE59" s="1058">
        <f t="shared" si="10"/>
        <v>24.266666666715466</v>
      </c>
      <c r="AF59" s="1059">
        <f t="shared" si="10"/>
        <v>18.666666666694766</v>
      </c>
      <c r="AG59" s="1059">
        <f t="shared" si="10"/>
        <v>21.155555555529823</v>
      </c>
      <c r="AH59" s="1059">
        <f t="shared" si="9"/>
        <v>22.711111111058745</v>
      </c>
      <c r="AI59" s="1060">
        <f t="shared" si="9"/>
        <v>17.11111111109034</v>
      </c>
      <c r="AJ59" s="1060">
        <f t="shared" si="9"/>
        <v>19.599999999999998</v>
      </c>
      <c r="AK59" s="1060">
        <f t="shared" si="9"/>
        <v>21.155555555529823</v>
      </c>
    </row>
    <row r="60" spans="8:8" ht="15.75" customHeight="1">
      <c r="D60" s="1049">
        <f t="shared" si="5"/>
        <v>0.15833333333333877</v>
      </c>
      <c r="E60" s="1050">
        <f t="shared" si="0"/>
        <v>45.28333333333489</v>
      </c>
      <c r="F60" s="1050">
        <f t="shared" si="1"/>
        <v>47.816666666668304</v>
      </c>
      <c r="G60" s="1050">
        <f t="shared" si="1"/>
        <v>49.4000000000017</v>
      </c>
      <c r="H60" s="1051">
        <f t="shared" si="13"/>
        <v>42.11666666664091</v>
      </c>
      <c r="I60" s="1051">
        <f t="shared" si="14"/>
        <v>44.65000000007967</v>
      </c>
      <c r="J60" s="1051">
        <f t="shared" si="12"/>
        <v>46.23333333336029</v>
      </c>
      <c r="K60" s="1052">
        <f t="shared" si="12"/>
        <v>38.95000000007397</v>
      </c>
      <c r="L60" s="1052">
        <f t="shared" si="12"/>
        <v>41.48333333328222</v>
      </c>
      <c r="M60" s="1052">
        <f t="shared" si="12"/>
        <v>43.066666666573745</v>
      </c>
      <c r="N60" s="1053">
        <f t="shared" si="12"/>
        <v>28.5</v>
      </c>
      <c r="O60" s="1053">
        <f t="shared" si="12"/>
        <v>31.033333333417154</v>
      </c>
      <c r="P60" s="1053">
        <f t="shared" si="12"/>
        <v>32.61666666671038</v>
      </c>
      <c r="Q60" s="1054">
        <f t="shared" si="12"/>
        <v>26.91666666670298</v>
      </c>
      <c r="R60" s="1054">
        <f t="shared" si="12"/>
        <v>29.449999999940133</v>
      </c>
      <c r="S60" s="1054">
        <f t="shared" si="12"/>
        <v>31.033333333417154</v>
      </c>
      <c r="T60" s="1055">
        <f t="shared" si="12"/>
        <v>25.333333333400756</v>
      </c>
      <c r="U60" s="1055">
        <f t="shared" si="11"/>
        <v>27.86666666664781</v>
      </c>
      <c r="V60" s="1055">
        <f t="shared" si="11"/>
        <v>29.449999999940133</v>
      </c>
      <c r="W60" s="1056">
        <f t="shared" si="11"/>
        <v>23.74999999995423</v>
      </c>
      <c r="X60" s="1056">
        <f t="shared" si="11"/>
        <v>26.28333333335099</v>
      </c>
      <c r="Y60" s="1056">
        <f t="shared" si="11"/>
        <v>27.86666666664781</v>
      </c>
      <c r="Z60" s="1057">
        <f t="shared" si="11"/>
        <v>22.16666666665311</v>
      </c>
      <c r="AA60" s="1057">
        <f t="shared" si="10"/>
        <v>24.700000000048767</v>
      </c>
      <c r="AB60" s="1057">
        <f t="shared" si="10"/>
        <v>26.28333333335099</v>
      </c>
      <c r="AC60" s="1058">
        <f t="shared" si="10"/>
        <v>20.58333333334499</v>
      </c>
      <c r="AD60" s="1058">
        <f t="shared" si="10"/>
        <v>23.116666666614346</v>
      </c>
      <c r="AE60" s="1058">
        <f t="shared" si="10"/>
        <v>24.700000000048767</v>
      </c>
      <c r="AF60" s="1059">
        <f t="shared" si="10"/>
        <v>19.000000000028066</v>
      </c>
      <c r="AG60" s="1059">
        <f t="shared" si="10"/>
        <v>21.533333333307624</v>
      </c>
      <c r="AH60" s="1059">
        <f t="shared" si="9"/>
        <v>23.116666666614346</v>
      </c>
      <c r="AI60" s="1060">
        <f t="shared" si="9"/>
        <v>17.41666666664594</v>
      </c>
      <c r="AJ60" s="1060">
        <f t="shared" si="9"/>
        <v>19.95</v>
      </c>
      <c r="AK60" s="1060">
        <f t="shared" si="9"/>
        <v>21.533333333307624</v>
      </c>
    </row>
    <row r="61" spans="8:8" ht="15.75" customHeight="1">
      <c r="D61" s="1049">
        <f t="shared" si="5"/>
        <v>0.16111111111111676</v>
      </c>
      <c r="E61" s="1050">
        <f t="shared" si="0"/>
        <v>46.07777777777939</v>
      </c>
      <c r="F61" s="1050">
        <f t="shared" si="1"/>
        <v>48.65555555555726</v>
      </c>
      <c r="G61" s="1050">
        <f t="shared" si="1"/>
        <v>50.26666666666843</v>
      </c>
      <c r="H61" s="1051">
        <f t="shared" si="13"/>
        <v>42.85555555552981</v>
      </c>
      <c r="I61" s="1051">
        <f t="shared" si="14"/>
        <v>45.43333333341297</v>
      </c>
      <c r="J61" s="1051">
        <f t="shared" si="12"/>
        <v>47.04444444447139</v>
      </c>
      <c r="K61" s="1052">
        <f t="shared" si="12"/>
        <v>39.63333333340727</v>
      </c>
      <c r="L61" s="1052">
        <f t="shared" si="12"/>
        <v>42.21111111106002</v>
      </c>
      <c r="M61" s="1052">
        <f t="shared" si="12"/>
        <v>43.82222222212925</v>
      </c>
      <c r="N61" s="1053">
        <f t="shared" si="12"/>
        <v>29.0</v>
      </c>
      <c r="O61" s="1053">
        <f t="shared" si="12"/>
        <v>31.577777777861556</v>
      </c>
      <c r="P61" s="1053">
        <f t="shared" si="12"/>
        <v>33.188888888932574</v>
      </c>
      <c r="Q61" s="1054">
        <f t="shared" si="12"/>
        <v>27.38888888892518</v>
      </c>
      <c r="R61" s="1054">
        <f t="shared" si="12"/>
        <v>29.966666666606834</v>
      </c>
      <c r="S61" s="1054">
        <f t="shared" si="12"/>
        <v>31.577777777861556</v>
      </c>
      <c r="T61" s="1055">
        <f t="shared" si="12"/>
        <v>25.777777777845156</v>
      </c>
      <c r="U61" s="1055">
        <f t="shared" si="11"/>
        <v>28.35555555553671</v>
      </c>
      <c r="V61" s="1055">
        <f t="shared" si="11"/>
        <v>29.966666666606834</v>
      </c>
      <c r="W61" s="1056">
        <f t="shared" si="11"/>
        <v>24.166666666620934</v>
      </c>
      <c r="X61" s="1056">
        <f t="shared" si="11"/>
        <v>26.744444444462086</v>
      </c>
      <c r="Y61" s="1056">
        <f t="shared" si="11"/>
        <v>28.35555555553671</v>
      </c>
      <c r="Z61" s="1057">
        <f t="shared" si="11"/>
        <v>22.55555555554201</v>
      </c>
      <c r="AA61" s="1057">
        <f t="shared" si="10"/>
        <v>25.133333333382065</v>
      </c>
      <c r="AB61" s="1057">
        <f t="shared" si="10"/>
        <v>26.744444444462086</v>
      </c>
      <c r="AC61" s="1058">
        <f t="shared" si="10"/>
        <v>20.94444444445609</v>
      </c>
      <c r="AD61" s="1058">
        <f t="shared" si="10"/>
        <v>23.522222222169944</v>
      </c>
      <c r="AE61" s="1058">
        <f t="shared" si="10"/>
        <v>25.133333333382065</v>
      </c>
      <c r="AF61" s="1059">
        <f t="shared" si="10"/>
        <v>19.333333333361367</v>
      </c>
      <c r="AG61" s="1059">
        <f t="shared" si="10"/>
        <v>21.911111111085425</v>
      </c>
      <c r="AH61" s="1059">
        <f t="shared" si="9"/>
        <v>23.522222222169944</v>
      </c>
      <c r="AI61" s="1060">
        <f t="shared" si="9"/>
        <v>17.722222222201545</v>
      </c>
      <c r="AJ61" s="1060">
        <f t="shared" si="9"/>
        <v>20.299999999999997</v>
      </c>
      <c r="AK61" s="1060">
        <f t="shared" si="9"/>
        <v>21.911111111085425</v>
      </c>
    </row>
    <row r="62" spans="8:8" ht="15.75" customHeight="1">
      <c r="D62" s="1049">
        <f t="shared" si="5"/>
        <v>0.16388888888889477</v>
      </c>
      <c r="E62" s="1050">
        <f t="shared" si="0"/>
        <v>46.872222222223904</v>
      </c>
      <c r="F62" s="1050">
        <f t="shared" si="1"/>
        <v>49.49444444444622</v>
      </c>
      <c r="G62" s="1050">
        <f t="shared" si="1"/>
        <v>51.133333333335166</v>
      </c>
      <c r="H62" s="1051">
        <f t="shared" si="13"/>
        <v>43.59444444441871</v>
      </c>
      <c r="I62" s="1051">
        <f t="shared" si="14"/>
        <v>46.21666666674627</v>
      </c>
      <c r="J62" s="1051">
        <f t="shared" si="12"/>
        <v>47.85555555558249</v>
      </c>
      <c r="K62" s="1052">
        <f t="shared" si="12"/>
        <v>40.31666666674057</v>
      </c>
      <c r="L62" s="1052">
        <f t="shared" si="12"/>
        <v>42.938888888837816</v>
      </c>
      <c r="M62" s="1052">
        <f t="shared" si="12"/>
        <v>44.577777777684844</v>
      </c>
      <c r="N62" s="1053">
        <f t="shared" si="12"/>
        <v>29.5</v>
      </c>
      <c r="O62" s="1053">
        <f t="shared" si="12"/>
        <v>32.12222222230596</v>
      </c>
      <c r="P62" s="1053">
        <f t="shared" si="12"/>
        <v>33.761111111154776</v>
      </c>
      <c r="Q62" s="1054">
        <f t="shared" si="12"/>
        <v>27.861111111147377</v>
      </c>
      <c r="R62" s="1054">
        <f t="shared" si="12"/>
        <v>30.483333333273535</v>
      </c>
      <c r="S62" s="1054">
        <f t="shared" si="12"/>
        <v>32.12222222230596</v>
      </c>
      <c r="T62" s="1055">
        <f t="shared" si="12"/>
        <v>26.222222222289556</v>
      </c>
      <c r="U62" s="1055">
        <f t="shared" si="11"/>
        <v>28.84444444442561</v>
      </c>
      <c r="V62" s="1055">
        <f t="shared" si="11"/>
        <v>30.483333333273535</v>
      </c>
      <c r="W62" s="1056">
        <f t="shared" si="11"/>
        <v>24.583333333287634</v>
      </c>
      <c r="X62" s="1056">
        <f t="shared" si="11"/>
        <v>27.205555555573188</v>
      </c>
      <c r="Y62" s="1056">
        <f t="shared" si="11"/>
        <v>28.84444444442561</v>
      </c>
      <c r="Z62" s="1057">
        <f t="shared" si="11"/>
        <v>22.94444444443091</v>
      </c>
      <c r="AA62" s="1057">
        <f t="shared" si="10"/>
        <v>25.566666666715367</v>
      </c>
      <c r="AB62" s="1057">
        <f t="shared" si="10"/>
        <v>27.205555555573188</v>
      </c>
      <c r="AC62" s="1058">
        <f t="shared" si="10"/>
        <v>21.30555555556719</v>
      </c>
      <c r="AD62" s="1058">
        <f t="shared" si="10"/>
        <v>23.927777777725545</v>
      </c>
      <c r="AE62" s="1058">
        <f t="shared" si="10"/>
        <v>25.566666666715367</v>
      </c>
      <c r="AF62" s="1059">
        <f t="shared" si="10"/>
        <v>19.666666666694667</v>
      </c>
      <c r="AG62" s="1059">
        <f t="shared" si="10"/>
        <v>22.288888888863223</v>
      </c>
      <c r="AH62" s="1059">
        <f t="shared" si="9"/>
        <v>23.927777777725545</v>
      </c>
      <c r="AI62" s="1060">
        <f t="shared" si="9"/>
        <v>18.027777777757144</v>
      </c>
      <c r="AJ62" s="1060">
        <f t="shared" si="9"/>
        <v>20.65</v>
      </c>
      <c r="AK62" s="1060">
        <f t="shared" si="9"/>
        <v>22.288888888863223</v>
      </c>
    </row>
    <row r="63" spans="8:8" ht="15.75" customHeight="1">
      <c r="D63" s="1049">
        <f t="shared" si="5"/>
        <v>0.16666666666667276</v>
      </c>
      <c r="E63" s="1050">
        <f t="shared" si="0"/>
        <v>47.66666666666841</v>
      </c>
      <c r="F63" s="1050">
        <f t="shared" si="1"/>
        <v>50.333333333335176</v>
      </c>
      <c r="G63" s="1050">
        <f t="shared" si="1"/>
        <v>52.000000000001904</v>
      </c>
      <c r="H63" s="1051">
        <f t="shared" si="13"/>
        <v>44.333333333307614</v>
      </c>
      <c r="I63" s="1051">
        <f t="shared" si="14"/>
        <v>47.00000000007957</v>
      </c>
      <c r="J63" s="1051">
        <f t="shared" si="12"/>
        <v>48.66666666669359</v>
      </c>
      <c r="K63" s="1052">
        <f t="shared" si="12"/>
        <v>41.00000000007387</v>
      </c>
      <c r="L63" s="1052">
        <f t="shared" si="12"/>
        <v>43.66666666661562</v>
      </c>
      <c r="M63" s="1052">
        <f t="shared" si="12"/>
        <v>45.33333333324035</v>
      </c>
      <c r="N63" s="1053">
        <f t="shared" si="12"/>
        <v>30.0</v>
      </c>
      <c r="O63" s="1053">
        <f t="shared" si="12"/>
        <v>32.66666666675036</v>
      </c>
      <c r="P63" s="1053">
        <f t="shared" si="12"/>
        <v>34.33333333337698</v>
      </c>
      <c r="Q63" s="1054">
        <f t="shared" si="12"/>
        <v>28.333333333369577</v>
      </c>
      <c r="R63" s="1054">
        <f t="shared" si="12"/>
        <v>30.999999999940233</v>
      </c>
      <c r="S63" s="1054">
        <f t="shared" si="12"/>
        <v>32.66666666675036</v>
      </c>
      <c r="T63" s="1055">
        <f t="shared" si="12"/>
        <v>26.666666666733956</v>
      </c>
      <c r="U63" s="1055">
        <f t="shared" si="11"/>
        <v>29.33333333331451</v>
      </c>
      <c r="V63" s="1055">
        <f t="shared" si="11"/>
        <v>30.999999999940233</v>
      </c>
      <c r="W63" s="1056">
        <f t="shared" si="11"/>
        <v>24.999999999954333</v>
      </c>
      <c r="X63" s="1056">
        <f t="shared" si="11"/>
        <v>27.66666666668429</v>
      </c>
      <c r="Y63" s="1056">
        <f t="shared" si="11"/>
        <v>29.33333333331451</v>
      </c>
      <c r="Z63" s="1057">
        <f t="shared" si="11"/>
        <v>23.33333333331981</v>
      </c>
      <c r="AA63" s="1057">
        <f t="shared" si="10"/>
        <v>26.000000000048665</v>
      </c>
      <c r="AB63" s="1057">
        <f t="shared" si="10"/>
        <v>27.66666666668429</v>
      </c>
      <c r="AC63" s="1058">
        <f t="shared" si="10"/>
        <v>21.66666666667829</v>
      </c>
      <c r="AD63" s="1058">
        <f t="shared" si="10"/>
        <v>24.333333333281146</v>
      </c>
      <c r="AE63" s="1058">
        <f t="shared" si="10"/>
        <v>26.000000000048665</v>
      </c>
      <c r="AF63" s="1059">
        <f t="shared" si="10"/>
        <v>20.000000000027967</v>
      </c>
      <c r="AG63" s="1059">
        <f t="shared" si="10"/>
        <v>22.666666666641024</v>
      </c>
      <c r="AH63" s="1059">
        <f t="shared" si="9"/>
        <v>24.333333333281146</v>
      </c>
      <c r="AI63" s="1060">
        <f t="shared" si="9"/>
        <v>18.333333333312744</v>
      </c>
      <c r="AJ63" s="1060">
        <f t="shared" si="9"/>
        <v>21.0</v>
      </c>
      <c r="AK63" s="1060">
        <f t="shared" si="9"/>
        <v>22.666666666641024</v>
      </c>
    </row>
    <row r="64" spans="8:8" ht="15.75" customHeight="1">
      <c r="D64" s="1049">
        <f t="shared" si="5"/>
        <v>0.16944444444445078</v>
      </c>
      <c r="E64" s="1050">
        <f t="shared" si="0"/>
        <v>48.46111111111292</v>
      </c>
      <c r="F64" s="1050">
        <f t="shared" si="1"/>
        <v>51.172222222224136</v>
      </c>
      <c r="G64" s="1050">
        <f t="shared" si="1"/>
        <v>52.86666666666864</v>
      </c>
      <c r="H64" s="1051">
        <f t="shared" si="13"/>
        <v>45.072222222196515</v>
      </c>
      <c r="I64" s="1051">
        <f t="shared" si="14"/>
        <v>47.78333333341287</v>
      </c>
      <c r="J64" s="1051">
        <f t="shared" si="12"/>
        <v>49.47777777780469</v>
      </c>
      <c r="K64" s="1052">
        <f t="shared" si="12"/>
        <v>41.68333333340717</v>
      </c>
      <c r="L64" s="1052">
        <f t="shared" si="12"/>
        <v>44.39444444439342</v>
      </c>
      <c r="M64" s="1052">
        <f t="shared" si="12"/>
        <v>46.08888888879585</v>
      </c>
      <c r="N64" s="1053">
        <f t="shared" si="12"/>
        <v>30.5</v>
      </c>
      <c r="O64" s="1053">
        <f t="shared" si="12"/>
        <v>33.211111111194754</v>
      </c>
      <c r="P64" s="1053">
        <f t="shared" si="12"/>
        <v>34.90555555559918</v>
      </c>
      <c r="Q64" s="1054">
        <f t="shared" si="12"/>
        <v>28.805555555591777</v>
      </c>
      <c r="R64" s="1054">
        <f t="shared" si="12"/>
        <v>31.516666666606937</v>
      </c>
      <c r="S64" s="1054">
        <f t="shared" si="12"/>
        <v>33.211111111194754</v>
      </c>
      <c r="T64" s="1055">
        <f t="shared" si="12"/>
        <v>27.111111111178356</v>
      </c>
      <c r="U64" s="1055">
        <f t="shared" si="11"/>
        <v>29.822222222203408</v>
      </c>
      <c r="V64" s="1055">
        <f t="shared" si="11"/>
        <v>31.516666666606937</v>
      </c>
      <c r="W64" s="1056">
        <f t="shared" si="11"/>
        <v>25.416666666621033</v>
      </c>
      <c r="X64" s="1056">
        <f t="shared" si="11"/>
        <v>28.127777777795387</v>
      </c>
      <c r="Y64" s="1056">
        <f t="shared" si="11"/>
        <v>29.822222222203408</v>
      </c>
      <c r="Z64" s="1057">
        <f t="shared" si="11"/>
        <v>23.72222222220871</v>
      </c>
      <c r="AA64" s="1057">
        <f t="shared" si="10"/>
        <v>26.433333333381967</v>
      </c>
      <c r="AB64" s="1057">
        <f t="shared" si="10"/>
        <v>28.127777777795387</v>
      </c>
      <c r="AC64" s="1058">
        <f t="shared" si="10"/>
        <v>22.02777777778939</v>
      </c>
      <c r="AD64" s="1058">
        <f t="shared" si="10"/>
        <v>24.738888888836744</v>
      </c>
      <c r="AE64" s="1058">
        <f t="shared" si="10"/>
        <v>26.433333333381967</v>
      </c>
      <c r="AF64" s="1059">
        <f t="shared" si="10"/>
        <v>20.333333333361267</v>
      </c>
      <c r="AG64" s="1059">
        <f t="shared" si="10"/>
        <v>23.044444444418822</v>
      </c>
      <c r="AH64" s="1059">
        <f t="shared" si="9"/>
        <v>24.738888888836744</v>
      </c>
      <c r="AI64" s="1060">
        <f t="shared" si="9"/>
        <v>18.638888888868344</v>
      </c>
      <c r="AJ64" s="1060">
        <f t="shared" si="9"/>
        <v>21.349999999999998</v>
      </c>
      <c r="AK64" s="1060">
        <f t="shared" si="9"/>
        <v>23.044444444418822</v>
      </c>
    </row>
    <row r="65" spans="8:8" ht="15.75" customHeight="1">
      <c r="D65" s="1049">
        <f t="shared" si="5"/>
        <v>0.17222222222222877</v>
      </c>
      <c r="E65" s="1050">
        <f t="shared" si="0"/>
        <v>49.25555555555743</v>
      </c>
      <c r="F65" s="1050">
        <f t="shared" si="1"/>
        <v>52.01111111111309</v>
      </c>
      <c r="G65" s="1050">
        <f t="shared" si="1"/>
        <v>53.73333333333537</v>
      </c>
      <c r="H65" s="1051">
        <f t="shared" si="13"/>
        <v>45.81111111108541</v>
      </c>
      <c r="I65" s="1051">
        <f t="shared" si="14"/>
        <v>48.566666666746166</v>
      </c>
      <c r="J65" s="1051">
        <f t="shared" si="12"/>
        <v>50.28888888891579</v>
      </c>
      <c r="K65" s="1052">
        <f t="shared" si="12"/>
        <v>42.36666666674047</v>
      </c>
      <c r="L65" s="1052">
        <f t="shared" si="12"/>
        <v>45.12222222217122</v>
      </c>
      <c r="M65" s="1052">
        <f t="shared" si="12"/>
        <v>46.844444444351446</v>
      </c>
      <c r="N65" s="1053">
        <f t="shared" si="12"/>
        <v>31.0</v>
      </c>
      <c r="O65" s="1053">
        <f t="shared" si="12"/>
        <v>33.755555555639155</v>
      </c>
      <c r="P65" s="1053">
        <f t="shared" si="12"/>
        <v>35.47777777782138</v>
      </c>
      <c r="Q65" s="1054">
        <f t="shared" si="12"/>
        <v>29.277777777813977</v>
      </c>
      <c r="R65" s="1054">
        <f t="shared" si="12"/>
        <v>32.03333333327363</v>
      </c>
      <c r="S65" s="1054">
        <f t="shared" si="12"/>
        <v>33.755555555639155</v>
      </c>
      <c r="T65" s="1055">
        <f t="shared" si="12"/>
        <v>27.555555555622757</v>
      </c>
      <c r="U65" s="1055">
        <f t="shared" si="11"/>
        <v>30.31111111109231</v>
      </c>
      <c r="V65" s="1055">
        <f t="shared" si="11"/>
        <v>32.03333333327363</v>
      </c>
      <c r="W65" s="1056">
        <f t="shared" si="11"/>
        <v>25.833333333287733</v>
      </c>
      <c r="X65" s="1056">
        <f t="shared" si="11"/>
        <v>28.58888888890649</v>
      </c>
      <c r="Y65" s="1056">
        <f t="shared" si="11"/>
        <v>30.31111111109231</v>
      </c>
      <c r="Z65" s="1057">
        <f t="shared" si="11"/>
        <v>24.11111111109761</v>
      </c>
      <c r="AA65" s="1057">
        <f t="shared" si="10"/>
        <v>26.866666666715265</v>
      </c>
      <c r="AB65" s="1057">
        <f t="shared" si="10"/>
        <v>28.58888888890649</v>
      </c>
      <c r="AC65" s="1058">
        <f t="shared" si="10"/>
        <v>22.38888888890049</v>
      </c>
      <c r="AD65" s="1058">
        <f t="shared" si="10"/>
        <v>25.144444444392345</v>
      </c>
      <c r="AE65" s="1058">
        <f t="shared" si="10"/>
        <v>26.866666666715265</v>
      </c>
      <c r="AF65" s="1059">
        <f t="shared" si="10"/>
        <v>20.666666666694567</v>
      </c>
      <c r="AG65" s="1059">
        <f t="shared" si="10"/>
        <v>23.422222222196623</v>
      </c>
      <c r="AH65" s="1059">
        <f t="shared" si="9"/>
        <v>25.144444444392345</v>
      </c>
      <c r="AI65" s="1060">
        <f t="shared" si="9"/>
        <v>18.944444444423944</v>
      </c>
      <c r="AJ65" s="1060">
        <f t="shared" si="9"/>
        <v>21.7</v>
      </c>
      <c r="AK65" s="1060">
        <f t="shared" si="9"/>
        <v>23.422222222196623</v>
      </c>
    </row>
    <row r="66" spans="8:8" ht="15.75" customHeight="1">
      <c r="D66" s="1049">
        <f t="shared" si="5"/>
        <v>0.17500000000000676</v>
      </c>
      <c r="E66" s="1050">
        <f t="shared" si="0"/>
        <v>50.05000000000194</v>
      </c>
      <c r="F66" s="1050">
        <f t="shared" si="1"/>
        <v>52.85000000000204</v>
      </c>
      <c r="G66" s="1050">
        <f t="shared" si="1"/>
        <v>54.60000000000211</v>
      </c>
      <c r="H66" s="1051">
        <f t="shared" si="13"/>
        <v>46.54999999997431</v>
      </c>
      <c r="I66" s="1051">
        <f t="shared" si="14"/>
        <v>49.35000000007947</v>
      </c>
      <c r="J66" s="1051">
        <f t="shared" si="12"/>
        <v>51.10000000002689</v>
      </c>
      <c r="K66" s="1052">
        <f t="shared" si="12"/>
        <v>43.05000000007377</v>
      </c>
      <c r="L66" s="1052">
        <f t="shared" si="12"/>
        <v>45.84999999994902</v>
      </c>
      <c r="M66" s="1052">
        <f t="shared" si="12"/>
        <v>47.59999999990695</v>
      </c>
      <c r="N66" s="1053">
        <f t="shared" si="12"/>
        <v>31.5</v>
      </c>
      <c r="O66" s="1053">
        <f t="shared" si="12"/>
        <v>34.30000000008356</v>
      </c>
      <c r="P66" s="1053">
        <f t="shared" si="12"/>
        <v>36.050000000043575</v>
      </c>
      <c r="Q66" s="1054">
        <f t="shared" si="12"/>
        <v>29.750000000036177</v>
      </c>
      <c r="R66" s="1054">
        <f t="shared" si="12"/>
        <v>32.54999999994033</v>
      </c>
      <c r="S66" s="1054">
        <f t="shared" si="12"/>
        <v>34.30000000008356</v>
      </c>
      <c r="T66" s="1055">
        <f t="shared" si="12"/>
        <v>28.000000000067157</v>
      </c>
      <c r="U66" s="1055">
        <f t="shared" si="11"/>
        <v>30.79999999998121</v>
      </c>
      <c r="V66" s="1055">
        <f t="shared" si="11"/>
        <v>32.54999999994033</v>
      </c>
      <c r="W66" s="1056">
        <f t="shared" si="11"/>
        <v>26.249999999954433</v>
      </c>
      <c r="X66" s="1056">
        <f t="shared" si="11"/>
        <v>29.050000000017587</v>
      </c>
      <c r="Y66" s="1056">
        <f t="shared" si="11"/>
        <v>30.79999999998121</v>
      </c>
      <c r="Z66" s="1057">
        <f t="shared" si="11"/>
        <v>24.49999999998651</v>
      </c>
      <c r="AA66" s="1057">
        <f t="shared" si="10"/>
        <v>27.300000000048566</v>
      </c>
      <c r="AB66" s="1057">
        <f t="shared" si="10"/>
        <v>29.050000000017587</v>
      </c>
      <c r="AC66" s="1058">
        <f t="shared" si="10"/>
        <v>22.75000000001159</v>
      </c>
      <c r="AD66" s="1058">
        <f t="shared" si="10"/>
        <v>25.549999999947946</v>
      </c>
      <c r="AE66" s="1058">
        <f t="shared" si="10"/>
        <v>27.300000000048566</v>
      </c>
      <c r="AF66" s="1059">
        <f t="shared" si="10"/>
        <v>21.000000000027867</v>
      </c>
      <c r="AG66" s="1059">
        <f t="shared" si="10"/>
        <v>23.799999999974425</v>
      </c>
      <c r="AH66" s="1059">
        <f t="shared" si="9"/>
        <v>25.549999999947946</v>
      </c>
      <c r="AI66" s="1060">
        <f t="shared" si="9"/>
        <v>19.249999999979543</v>
      </c>
      <c r="AJ66" s="1060">
        <f t="shared" si="9"/>
        <v>22.049999999999997</v>
      </c>
      <c r="AK66" s="1060">
        <f t="shared" si="9"/>
        <v>23.799999999974425</v>
      </c>
    </row>
    <row r="67" spans="8:8" ht="15.75" customHeight="1">
      <c r="D67" s="1049">
        <f t="shared" si="5"/>
        <v>0.17777777777778478</v>
      </c>
      <c r="E67" s="1050">
        <f t="shared" si="15" ref="E67:E130">E$363*D67</f>
        <v>50.844444444446445</v>
      </c>
      <c r="F67" s="1050">
        <f t="shared" si="16" ref="F67:G130">F$363*$D67</f>
        <v>53.688888888891</v>
      </c>
      <c r="G67" s="1050">
        <f t="shared" si="16"/>
        <v>55.46666666666885</v>
      </c>
      <c r="H67" s="1051">
        <f t="shared" si="13"/>
        <v>47.28888888886321</v>
      </c>
      <c r="I67" s="1051">
        <f t="shared" si="14"/>
        <v>50.13333333341277</v>
      </c>
      <c r="J67" s="1051">
        <f t="shared" si="12"/>
        <v>51.91111111113799</v>
      </c>
      <c r="K67" s="1052">
        <f t="shared" si="12"/>
        <v>43.73333333340707</v>
      </c>
      <c r="L67" s="1052">
        <f t="shared" si="12"/>
        <v>46.577777777726816</v>
      </c>
      <c r="M67" s="1052">
        <f t="shared" si="12"/>
        <v>48.355555555462544</v>
      </c>
      <c r="N67" s="1053">
        <f t="shared" si="12"/>
        <v>32.0</v>
      </c>
      <c r="O67" s="1053">
        <f t="shared" si="12"/>
        <v>34.84444444452796</v>
      </c>
      <c r="P67" s="1053">
        <f t="shared" si="12"/>
        <v>36.622222222265776</v>
      </c>
      <c r="Q67" s="1054">
        <f t="shared" si="12"/>
        <v>30.222222222258377</v>
      </c>
      <c r="R67" s="1054">
        <f t="shared" si="12"/>
        <v>33.066666666607034</v>
      </c>
      <c r="S67" s="1054">
        <f t="shared" si="12"/>
        <v>34.84444444452796</v>
      </c>
      <c r="T67" s="1055">
        <f t="shared" si="12"/>
        <v>28.444444444511557</v>
      </c>
      <c r="U67" s="1055">
        <f t="shared" si="11"/>
        <v>31.288888888870108</v>
      </c>
      <c r="V67" s="1055">
        <f t="shared" si="11"/>
        <v>33.066666666607034</v>
      </c>
      <c r="W67" s="1056">
        <f t="shared" si="11"/>
        <v>26.666666666621133</v>
      </c>
      <c r="X67" s="1056">
        <f t="shared" si="11"/>
        <v>29.511111111128688</v>
      </c>
      <c r="Y67" s="1056">
        <f t="shared" si="11"/>
        <v>31.288888888870108</v>
      </c>
      <c r="Z67" s="1057">
        <f t="shared" si="11"/>
        <v>24.88888888887541</v>
      </c>
      <c r="AA67" s="1057">
        <f t="shared" si="10"/>
        <v>27.733333333381868</v>
      </c>
      <c r="AB67" s="1057">
        <f t="shared" si="10"/>
        <v>29.511111111128688</v>
      </c>
      <c r="AC67" s="1058">
        <f t="shared" si="10"/>
        <v>23.11111111112269</v>
      </c>
      <c r="AD67" s="1058">
        <f t="shared" si="10"/>
        <v>25.955555555503544</v>
      </c>
      <c r="AE67" s="1058">
        <f t="shared" si="10"/>
        <v>27.733333333381868</v>
      </c>
      <c r="AF67" s="1059">
        <f t="shared" si="10"/>
        <v>21.333333333361168</v>
      </c>
      <c r="AG67" s="1059">
        <f t="shared" si="10"/>
        <v>24.177777777752222</v>
      </c>
      <c r="AH67" s="1059">
        <f t="shared" si="9"/>
        <v>25.955555555503544</v>
      </c>
      <c r="AI67" s="1060">
        <f t="shared" si="9"/>
        <v>19.555555555535143</v>
      </c>
      <c r="AJ67" s="1060">
        <f t="shared" si="9"/>
        <v>22.4</v>
      </c>
      <c r="AK67" s="1060">
        <f t="shared" si="9"/>
        <v>24.177777777752222</v>
      </c>
    </row>
    <row r="68" spans="8:8" ht="15.75" customHeight="1">
      <c r="D68" s="1049">
        <f t="shared" si="5"/>
        <v>0.18055555555556277</v>
      </c>
      <c r="E68" s="1050">
        <f t="shared" si="15"/>
        <v>51.63888888889095</v>
      </c>
      <c r="F68" s="1050">
        <f t="shared" si="16"/>
        <v>54.52777777777995</v>
      </c>
      <c r="G68" s="1050">
        <f t="shared" si="16"/>
        <v>56.33333333333558</v>
      </c>
      <c r="H68" s="1051">
        <f t="shared" si="13"/>
        <v>48.027777777752114</v>
      </c>
      <c r="I68" s="1051">
        <f t="shared" si="14"/>
        <v>50.91666666674607</v>
      </c>
      <c r="J68" s="1051">
        <f t="shared" si="12"/>
        <v>52.72222222224909</v>
      </c>
      <c r="K68" s="1052">
        <f t="shared" si="12"/>
        <v>44.41666666674037</v>
      </c>
      <c r="L68" s="1052">
        <f t="shared" si="12"/>
        <v>47.30555555550462</v>
      </c>
      <c r="M68" s="1052">
        <f t="shared" si="12"/>
        <v>49.11111111101805</v>
      </c>
      <c r="N68" s="1053">
        <f t="shared" si="12"/>
        <v>32.5</v>
      </c>
      <c r="O68" s="1053">
        <f t="shared" si="12"/>
        <v>35.38888888897235</v>
      </c>
      <c r="P68" s="1053">
        <f t="shared" si="12"/>
        <v>37.19444444448798</v>
      </c>
      <c r="Q68" s="1054">
        <f t="shared" si="12"/>
        <v>30.694444444480578</v>
      </c>
      <c r="R68" s="1054">
        <f t="shared" si="12"/>
        <v>33.583333333273735</v>
      </c>
      <c r="S68" s="1054">
        <f t="shared" si="12"/>
        <v>35.38888888897235</v>
      </c>
      <c r="T68" s="1055">
        <f t="shared" si="12"/>
        <v>28.888888888955957</v>
      </c>
      <c r="U68" s="1055">
        <f t="shared" si="11"/>
        <v>31.77777777775901</v>
      </c>
      <c r="V68" s="1055">
        <f t="shared" si="11"/>
        <v>33.583333333273735</v>
      </c>
      <c r="W68" s="1056">
        <f t="shared" si="11"/>
        <v>27.083333333287833</v>
      </c>
      <c r="X68" s="1056">
        <f t="shared" si="11"/>
        <v>29.97222222223979</v>
      </c>
      <c r="Y68" s="1056">
        <f t="shared" si="11"/>
        <v>31.77777777775901</v>
      </c>
      <c r="Z68" s="1057">
        <f t="shared" si="11"/>
        <v>25.27777777776431</v>
      </c>
      <c r="AA68" s="1057">
        <f t="shared" si="10"/>
        <v>28.166666666715166</v>
      </c>
      <c r="AB68" s="1057">
        <f t="shared" si="10"/>
        <v>29.97222222223979</v>
      </c>
      <c r="AC68" s="1058">
        <f t="shared" si="10"/>
        <v>23.47222222223379</v>
      </c>
      <c r="AD68" s="1058">
        <f t="shared" si="10"/>
        <v>26.361111111059145</v>
      </c>
      <c r="AE68" s="1058">
        <f t="shared" si="10"/>
        <v>28.166666666715166</v>
      </c>
      <c r="AF68" s="1059">
        <f t="shared" si="10"/>
        <v>21.666666666694468</v>
      </c>
      <c r="AG68" s="1059">
        <f t="shared" si="10"/>
        <v>24.555555555530024</v>
      </c>
      <c r="AH68" s="1059">
        <f t="shared" si="9"/>
        <v>26.361111111059145</v>
      </c>
      <c r="AI68" s="1060">
        <f t="shared" si="9"/>
        <v>19.861111111090743</v>
      </c>
      <c r="AJ68" s="1060">
        <f t="shared" si="9"/>
        <v>22.75</v>
      </c>
      <c r="AK68" s="1060">
        <f t="shared" si="9"/>
        <v>24.555555555530024</v>
      </c>
    </row>
    <row r="69" spans="8:8" ht="15.75" customHeight="1">
      <c r="D69" s="1049">
        <f t="shared" si="17" ref="D69:D132">D68+0.2/72</f>
        <v>0.18333333333334076</v>
      </c>
      <c r="E69" s="1050">
        <f t="shared" si="15"/>
        <v>52.433333333335455</v>
      </c>
      <c r="F69" s="1050">
        <f t="shared" si="16"/>
        <v>55.36666666666891</v>
      </c>
      <c r="G69" s="1050">
        <f t="shared" si="16"/>
        <v>57.20000000000232</v>
      </c>
      <c r="H69" s="1051">
        <f t="shared" si="13"/>
        <v>48.766666666641015</v>
      </c>
      <c r="I69" s="1051">
        <f t="shared" si="14"/>
        <v>51.70000000007937</v>
      </c>
      <c r="J69" s="1051">
        <f t="shared" si="12"/>
        <v>53.53333333336019</v>
      </c>
      <c r="K69" s="1052">
        <f t="shared" si="12"/>
        <v>45.10000000007367</v>
      </c>
      <c r="L69" s="1052">
        <f t="shared" si="12"/>
        <v>48.03333333328242</v>
      </c>
      <c r="M69" s="1052">
        <f t="shared" si="12"/>
        <v>49.86666666657355</v>
      </c>
      <c r="N69" s="1053">
        <f t="shared" si="12"/>
        <v>33.0</v>
      </c>
      <c r="O69" s="1053">
        <f t="shared" si="12"/>
        <v>35.933333333416755</v>
      </c>
      <c r="P69" s="1053">
        <f t="shared" si="12"/>
        <v>37.76666666671018</v>
      </c>
      <c r="Q69" s="1054">
        <f t="shared" si="12"/>
        <v>31.166666666702778</v>
      </c>
      <c r="R69" s="1054">
        <f t="shared" si="12"/>
        <v>34.09999999994044</v>
      </c>
      <c r="S69" s="1054">
        <f t="shared" si="12"/>
        <v>35.933333333416755</v>
      </c>
      <c r="T69" s="1055">
        <f t="shared" si="12"/>
        <v>29.333333333400358</v>
      </c>
      <c r="U69" s="1055">
        <f t="shared" si="11"/>
        <v>32.266666666647914</v>
      </c>
      <c r="V69" s="1055">
        <f t="shared" si="11"/>
        <v>34.09999999994044</v>
      </c>
      <c r="W69" s="1056">
        <f t="shared" si="11"/>
        <v>27.499999999954532</v>
      </c>
      <c r="X69" s="1056">
        <f t="shared" si="11"/>
        <v>30.433333333350888</v>
      </c>
      <c r="Y69" s="1056">
        <f t="shared" si="11"/>
        <v>32.266666666647914</v>
      </c>
      <c r="Z69" s="1057">
        <f t="shared" si="11"/>
        <v>25.66666666665321</v>
      </c>
      <c r="AA69" s="1057">
        <f t="shared" si="10"/>
        <v>28.600000000048468</v>
      </c>
      <c r="AB69" s="1057">
        <f t="shared" si="10"/>
        <v>30.433333333350888</v>
      </c>
      <c r="AC69" s="1058">
        <f t="shared" si="10"/>
        <v>23.83333333334489</v>
      </c>
      <c r="AD69" s="1058">
        <f t="shared" si="10"/>
        <v>26.766666666614746</v>
      </c>
      <c r="AE69" s="1058">
        <f t="shared" si="10"/>
        <v>28.600000000048468</v>
      </c>
      <c r="AF69" s="1059">
        <f t="shared" si="10"/>
        <v>22.000000000027768</v>
      </c>
      <c r="AG69" s="1059">
        <f t="shared" si="10"/>
        <v>24.933333333307825</v>
      </c>
      <c r="AH69" s="1059">
        <f t="shared" si="9"/>
        <v>26.766666666614746</v>
      </c>
      <c r="AI69" s="1060">
        <f t="shared" si="9"/>
        <v>20.166666666646343</v>
      </c>
      <c r="AJ69" s="1060">
        <f t="shared" si="9"/>
        <v>23.099999999999998</v>
      </c>
      <c r="AK69" s="1060">
        <f t="shared" si="9"/>
        <v>24.933333333307825</v>
      </c>
    </row>
    <row r="70" spans="8:8" ht="15.75" customHeight="1">
      <c r="D70" s="1049">
        <f t="shared" si="17"/>
        <v>0.18611111111111878</v>
      </c>
      <c r="E70" s="1050">
        <f t="shared" si="15"/>
        <v>53.22777777777997</v>
      </c>
      <c r="F70" s="1050">
        <f t="shared" si="16"/>
        <v>56.20555555555787</v>
      </c>
      <c r="G70" s="1050">
        <f t="shared" si="16"/>
        <v>58.06666666666906</v>
      </c>
      <c r="H70" s="1051">
        <f t="shared" si="13"/>
        <v>49.50555555552991</v>
      </c>
      <c r="I70" s="1051">
        <f t="shared" si="14"/>
        <v>52.483333333412666</v>
      </c>
      <c r="J70" s="1051">
        <f t="shared" si="12"/>
        <v>54.34444444447129</v>
      </c>
      <c r="K70" s="1052">
        <f t="shared" si="12"/>
        <v>45.78333333340697</v>
      </c>
      <c r="L70" s="1052">
        <f t="shared" si="12"/>
        <v>48.76111111106022</v>
      </c>
      <c r="M70" s="1052">
        <f t="shared" si="12"/>
        <v>50.62222222212905</v>
      </c>
      <c r="N70" s="1053">
        <f t="shared" si="12"/>
        <v>33.5</v>
      </c>
      <c r="O70" s="1053">
        <f t="shared" si="12"/>
        <v>36.47777777786116</v>
      </c>
      <c r="P70" s="1053">
        <f t="shared" si="12"/>
        <v>38.338888888932374</v>
      </c>
      <c r="Q70" s="1054">
        <f t="shared" si="12"/>
        <v>31.63888888892498</v>
      </c>
      <c r="R70" s="1054">
        <f t="shared" si="12"/>
        <v>34.61666666660713</v>
      </c>
      <c r="S70" s="1054">
        <f t="shared" si="12"/>
        <v>36.47777777786116</v>
      </c>
      <c r="T70" s="1055">
        <f t="shared" si="12"/>
        <v>29.777777777844758</v>
      </c>
      <c r="U70" s="1055">
        <f t="shared" si="11"/>
        <v>32.755555555536816</v>
      </c>
      <c r="V70" s="1055">
        <f t="shared" si="11"/>
        <v>34.61666666660713</v>
      </c>
      <c r="W70" s="1056">
        <f t="shared" si="11"/>
        <v>27.916666666621232</v>
      </c>
      <c r="X70" s="1056">
        <f t="shared" si="11"/>
        <v>30.89444444446199</v>
      </c>
      <c r="Y70" s="1056">
        <f t="shared" si="11"/>
        <v>32.755555555536816</v>
      </c>
      <c r="Z70" s="1057">
        <f t="shared" si="11"/>
        <v>26.05555555554211</v>
      </c>
      <c r="AA70" s="1057">
        <f t="shared" si="10"/>
        <v>29.033333333381766</v>
      </c>
      <c r="AB70" s="1057">
        <f t="shared" si="10"/>
        <v>30.89444444446199</v>
      </c>
      <c r="AC70" s="1058">
        <f t="shared" si="10"/>
        <v>24.19444444445599</v>
      </c>
      <c r="AD70" s="1058">
        <f t="shared" si="10"/>
        <v>27.172222222170344</v>
      </c>
      <c r="AE70" s="1058">
        <f t="shared" si="10"/>
        <v>29.033333333381766</v>
      </c>
      <c r="AF70" s="1059">
        <f t="shared" si="10"/>
        <v>22.333333333361068</v>
      </c>
      <c r="AG70" s="1059">
        <f t="shared" si="10"/>
        <v>25.311111111085623</v>
      </c>
      <c r="AH70" s="1059">
        <f t="shared" si="9"/>
        <v>27.172222222170344</v>
      </c>
      <c r="AI70" s="1060">
        <f t="shared" si="9"/>
        <v>20.472222222201943</v>
      </c>
      <c r="AJ70" s="1060">
        <f t="shared" si="9"/>
        <v>23.45</v>
      </c>
      <c r="AK70" s="1060">
        <f t="shared" si="9"/>
        <v>25.311111111085623</v>
      </c>
    </row>
    <row r="71" spans="8:8" ht="15.75" customHeight="1">
      <c r="D71" s="1049">
        <f t="shared" si="17"/>
        <v>0.18888888888889677</v>
      </c>
      <c r="E71" s="1050">
        <f t="shared" si="15"/>
        <v>54.02222222222448</v>
      </c>
      <c r="F71" s="1050">
        <f t="shared" si="16"/>
        <v>57.044444444446825</v>
      </c>
      <c r="G71" s="1050">
        <f t="shared" si="16"/>
        <v>58.93333333333579</v>
      </c>
      <c r="H71" s="1051">
        <f t="shared" si="13"/>
        <v>50.24444444441881</v>
      </c>
      <c r="I71" s="1051">
        <f t="shared" si="14"/>
        <v>53.26666666674597</v>
      </c>
      <c r="J71" s="1051">
        <f t="shared" si="12"/>
        <v>55.15555555558239</v>
      </c>
      <c r="K71" s="1052">
        <f t="shared" si="12"/>
        <v>46.46666666674027</v>
      </c>
      <c r="L71" s="1052">
        <f t="shared" si="12"/>
        <v>49.48888888883802</v>
      </c>
      <c r="M71" s="1052">
        <f t="shared" si="12"/>
        <v>51.37777777768455</v>
      </c>
      <c r="N71" s="1053">
        <f t="shared" si="12"/>
        <v>34.0</v>
      </c>
      <c r="O71" s="1053">
        <f t="shared" si="12"/>
        <v>37.02222222230556</v>
      </c>
      <c r="P71" s="1053">
        <f t="shared" si="12"/>
        <v>38.911111111154575</v>
      </c>
      <c r="Q71" s="1054">
        <f t="shared" si="12"/>
        <v>32.11111111114718</v>
      </c>
      <c r="R71" s="1054">
        <f t="shared" si="12"/>
        <v>35.13333333327383</v>
      </c>
      <c r="S71" s="1054">
        <f t="shared" si="12"/>
        <v>37.02222222230556</v>
      </c>
      <c r="T71" s="1055">
        <f t="shared" si="12"/>
        <v>30.222222222289158</v>
      </c>
      <c r="U71" s="1055">
        <f t="shared" si="11"/>
        <v>33.24444444442571</v>
      </c>
      <c r="V71" s="1055">
        <f t="shared" si="11"/>
        <v>35.13333333327383</v>
      </c>
      <c r="W71" s="1056">
        <f t="shared" si="11"/>
        <v>28.333333333287932</v>
      </c>
      <c r="X71" s="1056">
        <f t="shared" si="11"/>
        <v>31.355555555573087</v>
      </c>
      <c r="Y71" s="1056">
        <f t="shared" si="11"/>
        <v>33.24444444442571</v>
      </c>
      <c r="Z71" s="1057">
        <f t="shared" si="11"/>
        <v>26.44444444443101</v>
      </c>
      <c r="AA71" s="1057">
        <f t="shared" si="10"/>
        <v>29.466666666715067</v>
      </c>
      <c r="AB71" s="1057">
        <f t="shared" si="10"/>
        <v>31.355555555573087</v>
      </c>
      <c r="AC71" s="1058">
        <f t="shared" si="10"/>
        <v>24.55555555556709</v>
      </c>
      <c r="AD71" s="1058">
        <f t="shared" si="10"/>
        <v>27.577777777725945</v>
      </c>
      <c r="AE71" s="1058">
        <f t="shared" si="10"/>
        <v>29.466666666715067</v>
      </c>
      <c r="AF71" s="1059">
        <f t="shared" si="10"/>
        <v>22.66666666669437</v>
      </c>
      <c r="AG71" s="1059">
        <f t="shared" si="10"/>
        <v>25.688888888863424</v>
      </c>
      <c r="AH71" s="1059">
        <f t="shared" si="9"/>
        <v>27.577777777725945</v>
      </c>
      <c r="AI71" s="1060">
        <f t="shared" si="9"/>
        <v>20.777777777757542</v>
      </c>
      <c r="AJ71" s="1060">
        <f t="shared" si="9"/>
        <v>23.799999999999997</v>
      </c>
      <c r="AK71" s="1060">
        <f t="shared" si="9"/>
        <v>25.688888888863424</v>
      </c>
    </row>
    <row r="72" spans="8:8" ht="15.75" customHeight="1">
      <c r="D72" s="1049">
        <f t="shared" si="17"/>
        <v>0.19166666666667476</v>
      </c>
      <c r="E72" s="1050">
        <f t="shared" si="15"/>
        <v>54.81666666666898</v>
      </c>
      <c r="F72" s="1050">
        <f t="shared" si="16"/>
        <v>57.88333333333578</v>
      </c>
      <c r="G72" s="1050">
        <f t="shared" si="16"/>
        <v>59.80000000000253</v>
      </c>
      <c r="H72" s="1051">
        <f t="shared" si="13"/>
        <v>50.98333333330771</v>
      </c>
      <c r="I72" s="1051">
        <f t="shared" si="14"/>
        <v>54.050000000079265</v>
      </c>
      <c r="J72" s="1051">
        <f t="shared" si="12"/>
        <v>55.96666666669349</v>
      </c>
      <c r="K72" s="1052">
        <f t="shared" si="12"/>
        <v>47.15000000007357</v>
      </c>
      <c r="L72" s="1052">
        <f t="shared" si="12"/>
        <v>50.21666666661582</v>
      </c>
      <c r="M72" s="1052">
        <f t="shared" si="12"/>
        <v>52.133333333240145</v>
      </c>
      <c r="N72" s="1053">
        <f t="shared" si="12"/>
        <v>34.5</v>
      </c>
      <c r="O72" s="1053">
        <f t="shared" si="12"/>
        <v>37.56666666674995</v>
      </c>
      <c r="P72" s="1053">
        <f t="shared" si="12"/>
        <v>39.48333333337678</v>
      </c>
      <c r="Q72" s="1054">
        <f t="shared" si="12"/>
        <v>32.58333333336938</v>
      </c>
      <c r="R72" s="1054">
        <f t="shared" si="12"/>
        <v>35.64999999994053</v>
      </c>
      <c r="S72" s="1054">
        <f t="shared" si="12"/>
        <v>37.56666666674995</v>
      </c>
      <c r="T72" s="1055">
        <f t="shared" si="12"/>
        <v>30.66666666673356</v>
      </c>
      <c r="U72" s="1055">
        <f t="shared" si="11"/>
        <v>33.73333333331461</v>
      </c>
      <c r="V72" s="1055">
        <f t="shared" si="11"/>
        <v>35.64999999994053</v>
      </c>
      <c r="W72" s="1056">
        <f t="shared" si="11"/>
        <v>28.749999999954632</v>
      </c>
      <c r="X72" s="1056">
        <f t="shared" si="11"/>
        <v>31.81666666668419</v>
      </c>
      <c r="Y72" s="1056">
        <f t="shared" si="11"/>
        <v>33.73333333331461</v>
      </c>
      <c r="Z72" s="1057">
        <f t="shared" si="11"/>
        <v>26.83333333331991</v>
      </c>
      <c r="AA72" s="1057">
        <f t="shared" si="10"/>
        <v>29.900000000048365</v>
      </c>
      <c r="AB72" s="1057">
        <f t="shared" si="10"/>
        <v>31.81666666668419</v>
      </c>
      <c r="AC72" s="1058">
        <f t="shared" si="10"/>
        <v>24.91666666667819</v>
      </c>
      <c r="AD72" s="1058">
        <f t="shared" si="10"/>
        <v>27.983333333281546</v>
      </c>
      <c r="AE72" s="1058">
        <f t="shared" si="10"/>
        <v>29.900000000048365</v>
      </c>
      <c r="AF72" s="1059">
        <f t="shared" si="10"/>
        <v>23.00000000002767</v>
      </c>
      <c r="AG72" s="1059">
        <f t="shared" si="10"/>
        <v>26.066666666641222</v>
      </c>
      <c r="AH72" s="1059">
        <f t="shared" si="9"/>
        <v>27.983333333281546</v>
      </c>
      <c r="AI72" s="1060">
        <f t="shared" si="9"/>
        <v>21.083333333313142</v>
      </c>
      <c r="AJ72" s="1060">
        <f t="shared" si="9"/>
        <v>24.15</v>
      </c>
      <c r="AK72" s="1060">
        <f t="shared" si="9"/>
        <v>26.066666666641222</v>
      </c>
    </row>
    <row r="73" spans="8:8" ht="15.75" customHeight="1">
      <c r="D73" s="1049">
        <f t="shared" si="17"/>
        <v>0.19444444444445277</v>
      </c>
      <c r="E73" s="1050">
        <f t="shared" si="15"/>
        <v>55.611111111113495</v>
      </c>
      <c r="F73" s="1050">
        <f t="shared" si="16"/>
        <v>58.72222222222474</v>
      </c>
      <c r="G73" s="1050">
        <f t="shared" si="16"/>
        <v>60.666666666669265</v>
      </c>
      <c r="H73" s="1051">
        <f t="shared" si="13"/>
        <v>51.72222222219661</v>
      </c>
      <c r="I73" s="1051">
        <f t="shared" si="14"/>
        <v>54.83333333341257</v>
      </c>
      <c r="J73" s="1051">
        <f t="shared" si="12"/>
        <v>56.77777777780459</v>
      </c>
      <c r="K73" s="1052">
        <f t="shared" si="12"/>
        <v>47.83333333340687</v>
      </c>
      <c r="L73" s="1052">
        <f t="shared" si="12"/>
        <v>50.94444444439362</v>
      </c>
      <c r="M73" s="1052">
        <f t="shared" si="12"/>
        <v>52.88888888879565</v>
      </c>
      <c r="N73" s="1053">
        <f t="shared" si="12"/>
        <v>35.0</v>
      </c>
      <c r="O73" s="1053">
        <f t="shared" si="12"/>
        <v>38.111111111194354</v>
      </c>
      <c r="P73" s="1053">
        <f t="shared" si="12"/>
        <v>40.05555555559898</v>
      </c>
      <c r="Q73" s="1054">
        <f t="shared" si="12"/>
        <v>33.05555555559158</v>
      </c>
      <c r="R73" s="1054">
        <f t="shared" si="12"/>
        <v>36.166666666607235</v>
      </c>
      <c r="S73" s="1054">
        <f t="shared" si="12"/>
        <v>38.111111111194354</v>
      </c>
      <c r="T73" s="1055">
        <f t="shared" si="12"/>
        <v>31.11111111117796</v>
      </c>
      <c r="U73" s="1055">
        <f t="shared" si="11"/>
        <v>34.22222222220351</v>
      </c>
      <c r="V73" s="1055">
        <f t="shared" si="11"/>
        <v>36.166666666607235</v>
      </c>
      <c r="W73" s="1056">
        <f t="shared" si="11"/>
        <v>29.16666666662133</v>
      </c>
      <c r="X73" s="1056">
        <f t="shared" si="11"/>
        <v>32.27777777779529</v>
      </c>
      <c r="Y73" s="1056">
        <f t="shared" si="11"/>
        <v>34.22222222220351</v>
      </c>
      <c r="Z73" s="1057">
        <f t="shared" si="11"/>
        <v>27.22222222220881</v>
      </c>
      <c r="AA73" s="1057">
        <f t="shared" si="10"/>
        <v>30.333333333381667</v>
      </c>
      <c r="AB73" s="1057">
        <f t="shared" si="10"/>
        <v>32.27777777779529</v>
      </c>
      <c r="AC73" s="1058">
        <f t="shared" si="10"/>
        <v>25.27777777778929</v>
      </c>
      <c r="AD73" s="1058">
        <f t="shared" si="10"/>
        <v>28.388888888837144</v>
      </c>
      <c r="AE73" s="1058">
        <f t="shared" si="10"/>
        <v>30.333333333381667</v>
      </c>
      <c r="AF73" s="1059">
        <f t="shared" si="10"/>
        <v>23.33333333336097</v>
      </c>
      <c r="AG73" s="1059">
        <f t="shared" si="10"/>
        <v>26.444444444419023</v>
      </c>
      <c r="AH73" s="1059">
        <f t="shared" si="9"/>
        <v>28.388888888837144</v>
      </c>
      <c r="AI73" s="1060">
        <f t="shared" si="9"/>
        <v>21.388888888868742</v>
      </c>
      <c r="AJ73" s="1060">
        <f t="shared" si="9"/>
        <v>24.5</v>
      </c>
      <c r="AK73" s="1060">
        <f t="shared" si="9"/>
        <v>26.444444444419023</v>
      </c>
    </row>
    <row r="74" spans="8:8" ht="15.75" customHeight="1">
      <c r="D74" s="1049">
        <f t="shared" si="17"/>
        <v>0.19722222222223076</v>
      </c>
      <c r="E74" s="1050">
        <f t="shared" si="15"/>
        <v>56.405555555557996</v>
      </c>
      <c r="F74" s="1050">
        <f t="shared" si="16"/>
        <v>59.56111111111369</v>
      </c>
      <c r="G74" s="1050">
        <f t="shared" si="16"/>
        <v>61.533333333335996</v>
      </c>
      <c r="H74" s="1051">
        <f t="shared" si="13"/>
        <v>52.461111111085515</v>
      </c>
      <c r="I74" s="1051">
        <f t="shared" si="14"/>
        <v>55.61666666674587</v>
      </c>
      <c r="J74" s="1051">
        <f t="shared" si="12"/>
        <v>57.58888888891569</v>
      </c>
      <c r="K74" s="1052">
        <f t="shared" si="12"/>
        <v>48.51666666674017</v>
      </c>
      <c r="L74" s="1052">
        <f t="shared" si="12"/>
        <v>51.67222222217142</v>
      </c>
      <c r="M74" s="1052">
        <f t="shared" si="12"/>
        <v>53.644444444351244</v>
      </c>
      <c r="N74" s="1053">
        <f t="shared" si="12"/>
        <v>35.5</v>
      </c>
      <c r="O74" s="1053">
        <f t="shared" si="12"/>
        <v>38.655555555638756</v>
      </c>
      <c r="P74" s="1053">
        <f t="shared" si="12"/>
        <v>40.62777777782118</v>
      </c>
      <c r="Q74" s="1054">
        <f t="shared" si="12"/>
        <v>33.52777777781378</v>
      </c>
      <c r="R74" s="1054">
        <f t="shared" si="12"/>
        <v>36.683333333273936</v>
      </c>
      <c r="S74" s="1054">
        <f t="shared" si="12"/>
        <v>38.655555555638756</v>
      </c>
      <c r="T74" s="1055">
        <f t="shared" si="12"/>
        <v>31.555555555622355</v>
      </c>
      <c r="U74" s="1055">
        <f t="shared" si="12"/>
        <v>34.711111111092414</v>
      </c>
      <c r="V74" s="1055">
        <f t="shared" si="12"/>
        <v>36.683333333273936</v>
      </c>
      <c r="W74" s="1056">
        <f t="shared" si="18" ref="W74:AG99">W75-(W$363/360)</f>
        <v>29.58333333328803</v>
      </c>
      <c r="X74" s="1056">
        <f t="shared" si="18"/>
        <v>32.738888888906395</v>
      </c>
      <c r="Y74" s="1056">
        <f t="shared" si="18"/>
        <v>34.711111111092414</v>
      </c>
      <c r="Z74" s="1057">
        <f t="shared" si="18"/>
        <v>27.61111111109771</v>
      </c>
      <c r="AA74" s="1057">
        <f t="shared" si="10"/>
        <v>30.766666666714965</v>
      </c>
      <c r="AB74" s="1057">
        <f t="shared" si="10"/>
        <v>32.738888888906395</v>
      </c>
      <c r="AC74" s="1058">
        <f t="shared" si="10"/>
        <v>25.63888888890039</v>
      </c>
      <c r="AD74" s="1058">
        <f t="shared" si="10"/>
        <v>28.794444444392745</v>
      </c>
      <c r="AE74" s="1058">
        <f t="shared" si="10"/>
        <v>30.766666666714965</v>
      </c>
      <c r="AF74" s="1059">
        <f t="shared" si="10"/>
        <v>23.66666666669427</v>
      </c>
      <c r="AG74" s="1059">
        <f t="shared" si="10"/>
        <v>26.822222222196825</v>
      </c>
      <c r="AH74" s="1059">
        <f t="shared" si="9"/>
        <v>28.794444444392745</v>
      </c>
      <c r="AI74" s="1060">
        <f t="shared" si="9"/>
        <v>21.69444444442434</v>
      </c>
      <c r="AJ74" s="1060">
        <f t="shared" si="9"/>
        <v>24.849999999999998</v>
      </c>
      <c r="AK74" s="1060">
        <f t="shared" si="9"/>
        <v>26.822222222196825</v>
      </c>
    </row>
    <row r="75" spans="8:8" ht="15.75" customHeight="1">
      <c r="D75" s="1049">
        <f t="shared" si="17"/>
        <v>0.20000000000000875</v>
      </c>
      <c r="E75" s="1050">
        <f t="shared" si="15"/>
        <v>57.200000000002504</v>
      </c>
      <c r="F75" s="1050">
        <f t="shared" si="16"/>
        <v>60.40000000000264</v>
      </c>
      <c r="G75" s="1050">
        <f t="shared" si="16"/>
        <v>62.400000000002734</v>
      </c>
      <c r="H75" s="1051">
        <f t="shared" si="13"/>
        <v>53.199999999974416</v>
      </c>
      <c r="I75" s="1051">
        <f t="shared" si="14"/>
        <v>56.40000000007917</v>
      </c>
      <c r="J75" s="1051">
        <f t="shared" si="19" ref="J75:J83">J76-(J$363/360)</f>
        <v>58.40000000002679</v>
      </c>
      <c r="K75" s="1052">
        <f t="shared" si="20" ref="K75:K83">K76-(K$363/360)</f>
        <v>49.20000000007347</v>
      </c>
      <c r="L75" s="1052">
        <f t="shared" si="21" ref="L75:L83">L76-(L$363/360)</f>
        <v>52.399999999949216</v>
      </c>
      <c r="M75" s="1052">
        <f t="shared" si="22" ref="M75:M83">M76-(M$363/360)</f>
        <v>54.399999999906846</v>
      </c>
      <c r="N75" s="1053">
        <f t="shared" si="23" ref="N75:N83">N76-(N$363/360)</f>
        <v>36.0</v>
      </c>
      <c r="O75" s="1053">
        <f t="shared" si="24" ref="O75:O83">O76-(O$363/360)</f>
        <v>39.20000000008316</v>
      </c>
      <c r="P75" s="1053">
        <f t="shared" si="25" ref="P75:P83">P76-(P$363/360)</f>
        <v>41.200000000043374</v>
      </c>
      <c r="Q75" s="1054">
        <f t="shared" si="26" ref="Q75:Q83">Q76-(Q$363/360)</f>
        <v>34.00000000003598</v>
      </c>
      <c r="R75" s="1054">
        <f t="shared" si="27" ref="R75:R83">R76-(R$363/360)</f>
        <v>37.19999999994064</v>
      </c>
      <c r="S75" s="1054">
        <f t="shared" si="28" ref="S75:S83">S76-(S$363/360)</f>
        <v>39.20000000008316</v>
      </c>
      <c r="T75" s="1055">
        <f t="shared" si="29" ref="T75:T83">T76-(T$363/360)</f>
        <v>32.000000000066755</v>
      </c>
      <c r="U75" s="1055">
        <f t="shared" si="30" ref="U75:U83">U76-(U$363/360)</f>
        <v>35.199999999981316</v>
      </c>
      <c r="V75" s="1055">
        <f t="shared" si="31" ref="V75:V83">V76-(V$363/360)</f>
        <v>37.19999999994064</v>
      </c>
      <c r="W75" s="1056">
        <f t="shared" si="18"/>
        <v>29.99999999995473</v>
      </c>
      <c r="X75" s="1056">
        <f t="shared" si="18"/>
        <v>33.20000000001749</v>
      </c>
      <c r="Y75" s="1056">
        <f t="shared" si="18"/>
        <v>35.199999999981316</v>
      </c>
      <c r="Z75" s="1057">
        <f t="shared" si="18"/>
        <v>27.99999999998661</v>
      </c>
      <c r="AA75" s="1057">
        <f t="shared" si="10"/>
        <v>31.200000000048266</v>
      </c>
      <c r="AB75" s="1057">
        <f t="shared" si="10"/>
        <v>33.20000000001749</v>
      </c>
      <c r="AC75" s="1058">
        <f t="shared" si="10"/>
        <v>26.00000000001149</v>
      </c>
      <c r="AD75" s="1058">
        <f t="shared" si="10"/>
        <v>29.199999999948346</v>
      </c>
      <c r="AE75" s="1058">
        <f t="shared" si="10"/>
        <v>31.200000000048266</v>
      </c>
      <c r="AF75" s="1059">
        <f t="shared" si="10"/>
        <v>24.00000000002757</v>
      </c>
      <c r="AG75" s="1059">
        <f t="shared" si="10"/>
        <v>27.199999999974622</v>
      </c>
      <c r="AH75" s="1059">
        <f t="shared" si="9"/>
        <v>29.199999999948346</v>
      </c>
      <c r="AI75" s="1060">
        <f t="shared" si="9"/>
        <v>21.99999999997994</v>
      </c>
      <c r="AJ75" s="1060">
        <f t="shared" si="9"/>
        <v>25.2</v>
      </c>
      <c r="AK75" s="1060">
        <f t="shared" si="9"/>
        <v>27.199999999974622</v>
      </c>
    </row>
    <row r="76" spans="8:8" ht="15.75" customHeight="1">
      <c r="D76" s="1049">
        <f t="shared" si="17"/>
        <v>0.20277777777778677</v>
      </c>
      <c r="E76" s="1050">
        <f t="shared" si="15"/>
        <v>57.99444444444702</v>
      </c>
      <c r="F76" s="1050">
        <f t="shared" si="16"/>
        <v>61.23888888889161</v>
      </c>
      <c r="G76" s="1050">
        <f t="shared" si="16"/>
        <v>63.26666666666947</v>
      </c>
      <c r="H76" s="1051">
        <f t="shared" si="13"/>
        <v>53.93888888886331</v>
      </c>
      <c r="I76" s="1051">
        <f t="shared" si="14"/>
        <v>57.18333333341247</v>
      </c>
      <c r="J76" s="1051">
        <f t="shared" si="19"/>
        <v>59.21111111113789</v>
      </c>
      <c r="K76" s="1052">
        <f t="shared" si="20"/>
        <v>49.88333333340677</v>
      </c>
      <c r="L76" s="1052">
        <f t="shared" si="21"/>
        <v>53.12777777772702</v>
      </c>
      <c r="M76" s="1052">
        <f t="shared" si="22"/>
        <v>55.15555555546235</v>
      </c>
      <c r="N76" s="1053">
        <f t="shared" si="23"/>
        <v>36.5</v>
      </c>
      <c r="O76" s="1053">
        <f t="shared" si="24"/>
        <v>39.74444444452755</v>
      </c>
      <c r="P76" s="1053">
        <f t="shared" si="25"/>
        <v>41.772222222265576</v>
      </c>
      <c r="Q76" s="1054">
        <f t="shared" si="26"/>
        <v>34.47222222225818</v>
      </c>
      <c r="R76" s="1054">
        <f t="shared" si="27"/>
        <v>37.71666666660733</v>
      </c>
      <c r="S76" s="1054">
        <f t="shared" si="28"/>
        <v>39.74444444452755</v>
      </c>
      <c r="T76" s="1055">
        <f t="shared" si="29"/>
        <v>32.444444444511156</v>
      </c>
      <c r="U76" s="1055">
        <f t="shared" si="30"/>
        <v>35.68888888887021</v>
      </c>
      <c r="V76" s="1055">
        <f t="shared" si="31"/>
        <v>37.71666666660733</v>
      </c>
      <c r="W76" s="1056">
        <f t="shared" si="18"/>
        <v>30.41666666662143</v>
      </c>
      <c r="X76" s="1056">
        <f t="shared" si="18"/>
        <v>33.66111111112859</v>
      </c>
      <c r="Y76" s="1056">
        <f t="shared" si="18"/>
        <v>35.68888888887021</v>
      </c>
      <c r="Z76" s="1057">
        <f t="shared" si="18"/>
        <v>28.38888888887551</v>
      </c>
      <c r="AA76" s="1057">
        <f t="shared" si="10"/>
        <v>31.633333333381568</v>
      </c>
      <c r="AB76" s="1057">
        <f t="shared" si="10"/>
        <v>33.66111111112859</v>
      </c>
      <c r="AC76" s="1058">
        <f t="shared" si="10"/>
        <v>26.36111111112259</v>
      </c>
      <c r="AD76" s="1058">
        <f t="shared" si="10"/>
        <v>29.605555555503944</v>
      </c>
      <c r="AE76" s="1058">
        <f t="shared" si="10"/>
        <v>31.633333333381568</v>
      </c>
      <c r="AF76" s="1059">
        <f t="shared" si="10"/>
        <v>24.33333333336087</v>
      </c>
      <c r="AG76" s="1059">
        <f t="shared" si="10"/>
        <v>27.577777777752424</v>
      </c>
      <c r="AH76" s="1059">
        <f t="shared" si="9"/>
        <v>29.605555555503944</v>
      </c>
      <c r="AI76" s="1060">
        <f t="shared" si="9"/>
        <v>22.30555555553554</v>
      </c>
      <c r="AJ76" s="1060">
        <f t="shared" si="9"/>
        <v>25.549999999999997</v>
      </c>
      <c r="AK76" s="1060">
        <f t="shared" si="9"/>
        <v>27.577777777752424</v>
      </c>
    </row>
    <row r="77" spans="8:8" ht="15.75" customHeight="1">
      <c r="D77" s="1049">
        <f t="shared" si="17"/>
        <v>0.20555555555556476</v>
      </c>
      <c r="E77" s="1050">
        <f t="shared" si="15"/>
        <v>58.78888888889152</v>
      </c>
      <c r="F77" s="1050">
        <f t="shared" si="16"/>
        <v>62.07777777778056</v>
      </c>
      <c r="G77" s="1050">
        <f t="shared" si="16"/>
        <v>64.13333333333621</v>
      </c>
      <c r="H77" s="1051">
        <f t="shared" si="13"/>
        <v>54.67777777775221</v>
      </c>
      <c r="I77" s="1051">
        <f t="shared" si="14"/>
        <v>57.966666666745766</v>
      </c>
      <c r="J77" s="1051">
        <f t="shared" si="19"/>
        <v>60.02222222224899</v>
      </c>
      <c r="K77" s="1052">
        <f t="shared" si="20"/>
        <v>50.56666666674007</v>
      </c>
      <c r="L77" s="1052">
        <f t="shared" si="21"/>
        <v>53.85555555550482</v>
      </c>
      <c r="M77" s="1052">
        <f t="shared" si="22"/>
        <v>55.911111111017945</v>
      </c>
      <c r="N77" s="1053">
        <f t="shared" si="23"/>
        <v>37.0</v>
      </c>
      <c r="O77" s="1053">
        <f t="shared" si="24"/>
        <v>40.288888888971954</v>
      </c>
      <c r="P77" s="1053">
        <f t="shared" si="25"/>
        <v>42.34444444448778</v>
      </c>
      <c r="Q77" s="1054">
        <f t="shared" si="26"/>
        <v>34.94444444448038</v>
      </c>
      <c r="R77" s="1054">
        <f t="shared" si="27"/>
        <v>38.23333333327403</v>
      </c>
      <c r="S77" s="1054">
        <f t="shared" si="28"/>
        <v>40.288888888971954</v>
      </c>
      <c r="T77" s="1055">
        <f t="shared" si="29"/>
        <v>32.888888888955556</v>
      </c>
      <c r="U77" s="1055">
        <f t="shared" si="30"/>
        <v>36.17777777775911</v>
      </c>
      <c r="V77" s="1055">
        <f t="shared" si="31"/>
        <v>38.23333333327403</v>
      </c>
      <c r="W77" s="1056">
        <f t="shared" si="18"/>
        <v>30.83333333328813</v>
      </c>
      <c r="X77" s="1056">
        <f t="shared" si="18"/>
        <v>34.12222222223969</v>
      </c>
      <c r="Y77" s="1056">
        <f t="shared" si="18"/>
        <v>36.17777777775911</v>
      </c>
      <c r="Z77" s="1057">
        <f t="shared" si="18"/>
        <v>28.77777777776441</v>
      </c>
      <c r="AA77" s="1057">
        <f t="shared" si="10"/>
        <v>32.06666666671487</v>
      </c>
      <c r="AB77" s="1057">
        <f t="shared" si="10"/>
        <v>34.12222222223969</v>
      </c>
      <c r="AC77" s="1058">
        <f t="shared" si="10"/>
        <v>26.72222222223369</v>
      </c>
      <c r="AD77" s="1058">
        <f t="shared" si="10"/>
        <v>30.011111111059545</v>
      </c>
      <c r="AE77" s="1058">
        <f t="shared" si="10"/>
        <v>32.06666666671487</v>
      </c>
      <c r="AF77" s="1059">
        <f t="shared" si="10"/>
        <v>24.66666666669417</v>
      </c>
      <c r="AG77" s="1059">
        <f t="shared" si="10"/>
        <v>27.955555555530225</v>
      </c>
      <c r="AH77" s="1059">
        <f t="shared" si="9"/>
        <v>30.011111111059545</v>
      </c>
      <c r="AI77" s="1060">
        <f t="shared" si="9"/>
        <v>22.611111111091144</v>
      </c>
      <c r="AJ77" s="1060">
        <f t="shared" si="9"/>
        <v>25.9</v>
      </c>
      <c r="AK77" s="1060">
        <f t="shared" si="9"/>
        <v>27.955555555530225</v>
      </c>
    </row>
    <row r="78" spans="8:8" ht="15.75" customHeight="1">
      <c r="D78" s="1049">
        <f t="shared" si="17"/>
        <v>0.20833333333334278</v>
      </c>
      <c r="E78" s="1050">
        <f t="shared" si="15"/>
        <v>59.583333333336036</v>
      </c>
      <c r="F78" s="1050">
        <f t="shared" si="16"/>
        <v>62.91666666666952</v>
      </c>
      <c r="G78" s="1050">
        <f t="shared" si="16"/>
        <v>65.00000000000294</v>
      </c>
      <c r="H78" s="1051">
        <f t="shared" si="13"/>
        <v>55.41666666664111</v>
      </c>
      <c r="I78" s="1051">
        <f t="shared" si="14"/>
        <v>58.75000000007907</v>
      </c>
      <c r="J78" s="1051">
        <f t="shared" si="19"/>
        <v>60.83333333336009</v>
      </c>
      <c r="K78" s="1052">
        <f t="shared" si="20"/>
        <v>51.25000000007337</v>
      </c>
      <c r="L78" s="1052">
        <f t="shared" si="21"/>
        <v>54.58333333328262</v>
      </c>
      <c r="M78" s="1052">
        <f t="shared" si="22"/>
        <v>56.66666666657345</v>
      </c>
      <c r="N78" s="1053">
        <f t="shared" si="23"/>
        <v>37.5</v>
      </c>
      <c r="O78" s="1053">
        <f t="shared" si="24"/>
        <v>40.833333333416356</v>
      </c>
      <c r="P78" s="1053">
        <f t="shared" si="25"/>
        <v>42.91666666670998</v>
      </c>
      <c r="Q78" s="1054">
        <f t="shared" si="26"/>
        <v>35.416666666702575</v>
      </c>
      <c r="R78" s="1054">
        <f t="shared" si="27"/>
        <v>38.749999999940734</v>
      </c>
      <c r="S78" s="1054">
        <f t="shared" si="28"/>
        <v>40.833333333416356</v>
      </c>
      <c r="T78" s="1055">
        <f t="shared" si="29"/>
        <v>33.333333333399956</v>
      </c>
      <c r="U78" s="1055">
        <f t="shared" si="30"/>
        <v>36.66666666664801</v>
      </c>
      <c r="V78" s="1055">
        <f t="shared" si="31"/>
        <v>38.749999999940734</v>
      </c>
      <c r="W78" s="1056">
        <f t="shared" si="18"/>
        <v>31.24999999995483</v>
      </c>
      <c r="X78" s="1056">
        <f t="shared" si="18"/>
        <v>34.583333333350794</v>
      </c>
      <c r="Y78" s="1056">
        <f t="shared" si="18"/>
        <v>36.66666666664801</v>
      </c>
      <c r="Z78" s="1057">
        <f t="shared" si="18"/>
        <v>29.16666666665331</v>
      </c>
      <c r="AA78" s="1057">
        <f t="shared" si="18"/>
        <v>32.50000000004817</v>
      </c>
      <c r="AB78" s="1057">
        <f t="shared" si="18"/>
        <v>34.583333333350794</v>
      </c>
      <c r="AC78" s="1058">
        <f t="shared" si="18"/>
        <v>27.08333333334479</v>
      </c>
      <c r="AD78" s="1058">
        <f t="shared" si="18"/>
        <v>30.416666666615146</v>
      </c>
      <c r="AE78" s="1058">
        <f t="shared" si="18"/>
        <v>32.50000000004817</v>
      </c>
      <c r="AF78" s="1059">
        <f t="shared" si="18"/>
        <v>25.00000000002747</v>
      </c>
      <c r="AG78" s="1059">
        <f t="shared" si="18"/>
        <v>28.333333333308023</v>
      </c>
      <c r="AH78" s="1059">
        <f t="shared" si="9"/>
        <v>30.416666666615146</v>
      </c>
      <c r="AI78" s="1060">
        <f t="shared" si="9"/>
        <v>22.916666666646744</v>
      </c>
      <c r="AJ78" s="1060">
        <f t="shared" si="9"/>
        <v>26.25</v>
      </c>
      <c r="AK78" s="1060">
        <f t="shared" si="9"/>
        <v>28.333333333308023</v>
      </c>
    </row>
    <row r="79" spans="8:8" ht="15.75" customHeight="1">
      <c r="D79" s="1049">
        <f t="shared" si="17"/>
        <v>0.21111111111112077</v>
      </c>
      <c r="E79" s="1050">
        <f t="shared" si="15"/>
        <v>60.37777777778054</v>
      </c>
      <c r="F79" s="1050">
        <f t="shared" si="16"/>
        <v>63.75555555555847</v>
      </c>
      <c r="G79" s="1050">
        <f t="shared" si="16"/>
        <v>65.86666666666969</v>
      </c>
      <c r="H79" s="1051">
        <f t="shared" si="13"/>
        <v>56.155555555530015</v>
      </c>
      <c r="I79" s="1051">
        <f t="shared" si="14"/>
        <v>59.533333333412365</v>
      </c>
      <c r="J79" s="1051">
        <f t="shared" si="19"/>
        <v>61.64444444447119</v>
      </c>
      <c r="K79" s="1052">
        <f t="shared" si="20"/>
        <v>51.93333333340667</v>
      </c>
      <c r="L79" s="1052">
        <f t="shared" si="21"/>
        <v>55.31111111106042</v>
      </c>
      <c r="M79" s="1052">
        <f t="shared" si="22"/>
        <v>57.422222222129044</v>
      </c>
      <c r="N79" s="1053">
        <f t="shared" si="23"/>
        <v>38.0</v>
      </c>
      <c r="O79" s="1053">
        <f t="shared" si="24"/>
        <v>41.37777777786076</v>
      </c>
      <c r="P79" s="1053">
        <f t="shared" si="25"/>
        <v>43.48888888893218</v>
      </c>
      <c r="Q79" s="1054">
        <f t="shared" si="26"/>
        <v>35.888888888924775</v>
      </c>
      <c r="R79" s="1054">
        <f t="shared" si="27"/>
        <v>39.266666666607435</v>
      </c>
      <c r="S79" s="1054">
        <f t="shared" si="28"/>
        <v>41.37777777786076</v>
      </c>
      <c r="T79" s="1055">
        <f t="shared" si="29"/>
        <v>33.777777777844356</v>
      </c>
      <c r="U79" s="1055">
        <f t="shared" si="30"/>
        <v>37.155555555536914</v>
      </c>
      <c r="V79" s="1055">
        <f t="shared" si="31"/>
        <v>39.266666666607435</v>
      </c>
      <c r="W79" s="1056">
        <f t="shared" si="18"/>
        <v>31.666666666621534</v>
      </c>
      <c r="X79" s="1056">
        <f t="shared" si="18"/>
        <v>35.04444444446189</v>
      </c>
      <c r="Y79" s="1056">
        <f t="shared" si="18"/>
        <v>37.155555555536914</v>
      </c>
      <c r="Z79" s="1057">
        <f t="shared" si="18"/>
        <v>29.55555555554221</v>
      </c>
      <c r="AA79" s="1057">
        <f t="shared" si="18"/>
        <v>32.93333333338147</v>
      </c>
      <c r="AB79" s="1057">
        <f t="shared" si="18"/>
        <v>35.04444444446189</v>
      </c>
      <c r="AC79" s="1058">
        <f t="shared" si="18"/>
        <v>27.44444444445589</v>
      </c>
      <c r="AD79" s="1058">
        <f t="shared" si="18"/>
        <v>30.822222222170744</v>
      </c>
      <c r="AE79" s="1058">
        <f t="shared" si="18"/>
        <v>32.93333333338147</v>
      </c>
      <c r="AF79" s="1059">
        <f t="shared" si="18"/>
        <v>25.333333333360766</v>
      </c>
      <c r="AG79" s="1059">
        <f t="shared" si="18"/>
        <v>28.711111111085824</v>
      </c>
      <c r="AH79" s="1059">
        <f t="shared" si="9"/>
        <v>30.822222222170744</v>
      </c>
      <c r="AI79" s="1060">
        <f t="shared" si="9"/>
        <v>23.222222222202344</v>
      </c>
      <c r="AJ79" s="1060">
        <f t="shared" si="9"/>
        <v>26.599999999999998</v>
      </c>
      <c r="AK79" s="1060">
        <f t="shared" si="9"/>
        <v>28.711111111085824</v>
      </c>
    </row>
    <row r="80" spans="8:8" ht="15.75" customHeight="1">
      <c r="D80" s="1049">
        <f t="shared" si="17"/>
        <v>0.21388888888889876</v>
      </c>
      <c r="E80" s="1050">
        <f t="shared" si="15"/>
        <v>61.172222222225045</v>
      </c>
      <c r="F80" s="1050">
        <f t="shared" si="16"/>
        <v>64.59444444444742</v>
      </c>
      <c r="G80" s="1050">
        <f t="shared" si="16"/>
        <v>66.73333333333642</v>
      </c>
      <c r="H80" s="1051">
        <f t="shared" si="13"/>
        <v>56.894444444418916</v>
      </c>
      <c r="I80" s="1051">
        <f t="shared" si="14"/>
        <v>60.31666666674567</v>
      </c>
      <c r="J80" s="1051">
        <f t="shared" si="19"/>
        <v>62.45555555558229</v>
      </c>
      <c r="K80" s="1052">
        <f t="shared" si="20"/>
        <v>52.61666666673997</v>
      </c>
      <c r="L80" s="1052">
        <f t="shared" si="21"/>
        <v>56.038888888838216</v>
      </c>
      <c r="M80" s="1052">
        <f t="shared" si="22"/>
        <v>58.17777777768455</v>
      </c>
      <c r="N80" s="1053">
        <f t="shared" si="23"/>
        <v>38.5</v>
      </c>
      <c r="O80" s="1053">
        <f t="shared" si="24"/>
        <v>41.92222222230516</v>
      </c>
      <c r="P80" s="1053">
        <f t="shared" si="25"/>
        <v>44.061111111154375</v>
      </c>
      <c r="Q80" s="1054">
        <f t="shared" si="26"/>
        <v>36.361111111146975</v>
      </c>
      <c r="R80" s="1054">
        <f t="shared" si="27"/>
        <v>39.783333333274136</v>
      </c>
      <c r="S80" s="1054">
        <f t="shared" si="28"/>
        <v>41.92222222230516</v>
      </c>
      <c r="T80" s="1055">
        <f t="shared" si="29"/>
        <v>34.22222222228876</v>
      </c>
      <c r="U80" s="1055">
        <f t="shared" si="30"/>
        <v>37.644444444425815</v>
      </c>
      <c r="V80" s="1055">
        <f t="shared" si="31"/>
        <v>39.783333333274136</v>
      </c>
      <c r="W80" s="1056">
        <f t="shared" si="18"/>
        <v>32.08333333328824</v>
      </c>
      <c r="X80" s="1056">
        <f t="shared" si="18"/>
        <v>35.50555555557299</v>
      </c>
      <c r="Y80" s="1056">
        <f t="shared" si="18"/>
        <v>37.644444444425815</v>
      </c>
      <c r="Z80" s="1057">
        <f t="shared" si="18"/>
        <v>29.94444444443111</v>
      </c>
      <c r="AA80" s="1057">
        <f t="shared" si="18"/>
        <v>33.36666666671477</v>
      </c>
      <c r="AB80" s="1057">
        <f t="shared" si="18"/>
        <v>35.50555555557299</v>
      </c>
      <c r="AC80" s="1058">
        <f t="shared" si="18"/>
        <v>27.80555555556699</v>
      </c>
      <c r="AD80" s="1058">
        <f t="shared" si="18"/>
        <v>31.227777777726345</v>
      </c>
      <c r="AE80" s="1058">
        <f t="shared" si="18"/>
        <v>33.36666666671477</v>
      </c>
      <c r="AF80" s="1059">
        <f t="shared" si="18"/>
        <v>25.666666666694066</v>
      </c>
      <c r="AG80" s="1059">
        <f t="shared" si="18"/>
        <v>29.088888888863625</v>
      </c>
      <c r="AH80" s="1059">
        <f t="shared" si="9"/>
        <v>31.227777777726345</v>
      </c>
      <c r="AI80" s="1060">
        <f t="shared" si="9"/>
        <v>23.527777777757944</v>
      </c>
      <c r="AJ80" s="1060">
        <f t="shared" si="9"/>
        <v>26.95</v>
      </c>
      <c r="AK80" s="1060">
        <f t="shared" si="9"/>
        <v>29.088888888863625</v>
      </c>
    </row>
    <row r="81" spans="8:8" ht="15.75" customHeight="1">
      <c r="D81" s="1049">
        <f t="shared" si="17"/>
        <v>0.21666666666667678</v>
      </c>
      <c r="E81" s="1050">
        <f t="shared" si="15"/>
        <v>61.96666666666956</v>
      </c>
      <c r="F81" s="1050">
        <f t="shared" si="16"/>
        <v>65.43333333333639</v>
      </c>
      <c r="G81" s="1050">
        <f t="shared" si="16"/>
        <v>67.60000000000315</v>
      </c>
      <c r="H81" s="1051">
        <f t="shared" si="13"/>
        <v>57.63333333330781</v>
      </c>
      <c r="I81" s="1051">
        <f t="shared" si="14"/>
        <v>61.10000000007897</v>
      </c>
      <c r="J81" s="1051">
        <f t="shared" si="19"/>
        <v>63.26666666669339</v>
      </c>
      <c r="K81" s="1052">
        <f t="shared" si="20"/>
        <v>53.30000000007327</v>
      </c>
      <c r="L81" s="1052">
        <f t="shared" si="21"/>
        <v>56.76666666661602</v>
      </c>
      <c r="M81" s="1052">
        <f t="shared" si="22"/>
        <v>58.93333333324005</v>
      </c>
      <c r="N81" s="1053">
        <f t="shared" si="23"/>
        <v>39.0</v>
      </c>
      <c r="O81" s="1053">
        <f t="shared" si="24"/>
        <v>42.46666666674955</v>
      </c>
      <c r="P81" s="1053">
        <f t="shared" si="25"/>
        <v>44.63333333337658</v>
      </c>
      <c r="Q81" s="1054">
        <f t="shared" si="26"/>
        <v>36.833333333369175</v>
      </c>
      <c r="R81" s="1054">
        <f t="shared" si="27"/>
        <v>40.29999999994084</v>
      </c>
      <c r="S81" s="1054">
        <f t="shared" si="28"/>
        <v>42.46666666674955</v>
      </c>
      <c r="T81" s="1055">
        <f t="shared" si="29"/>
        <v>34.66666666673316</v>
      </c>
      <c r="U81" s="1055">
        <f t="shared" si="30"/>
        <v>38.13333333331471</v>
      </c>
      <c r="V81" s="1055">
        <f t="shared" si="31"/>
        <v>40.29999999994084</v>
      </c>
      <c r="W81" s="1056">
        <f t="shared" si="18"/>
        <v>32.49999999995494</v>
      </c>
      <c r="X81" s="1056">
        <f t="shared" si="18"/>
        <v>35.96666666668409</v>
      </c>
      <c r="Y81" s="1056">
        <f t="shared" si="18"/>
        <v>38.13333333331471</v>
      </c>
      <c r="Z81" s="1057">
        <f t="shared" si="18"/>
        <v>30.33333333332001</v>
      </c>
      <c r="AA81" s="1057">
        <f t="shared" si="18"/>
        <v>33.80000000004807</v>
      </c>
      <c r="AB81" s="1057">
        <f t="shared" si="18"/>
        <v>35.96666666668409</v>
      </c>
      <c r="AC81" s="1058">
        <f t="shared" si="18"/>
        <v>28.16666666667809</v>
      </c>
      <c r="AD81" s="1058">
        <f t="shared" si="18"/>
        <v>31.633333333281943</v>
      </c>
      <c r="AE81" s="1058">
        <f t="shared" si="18"/>
        <v>33.80000000004807</v>
      </c>
      <c r="AF81" s="1059">
        <f t="shared" si="18"/>
        <v>26.000000000027367</v>
      </c>
      <c r="AG81" s="1059">
        <f t="shared" si="18"/>
        <v>29.466666666641423</v>
      </c>
      <c r="AH81" s="1059">
        <f t="shared" si="9"/>
        <v>31.633333333281943</v>
      </c>
      <c r="AI81" s="1060">
        <f t="shared" si="9"/>
        <v>23.833333333313544</v>
      </c>
      <c r="AJ81" s="1060">
        <f t="shared" si="9"/>
        <v>27.299999999999997</v>
      </c>
      <c r="AK81" s="1060">
        <f t="shared" si="9"/>
        <v>29.466666666641423</v>
      </c>
    </row>
    <row r="82" spans="8:8" ht="15.75" customHeight="1">
      <c r="D82" s="1049">
        <f t="shared" si="17"/>
        <v>0.21944444444445477</v>
      </c>
      <c r="E82" s="1050">
        <f t="shared" si="15"/>
        <v>62.76111111111406</v>
      </c>
      <c r="F82" s="1050">
        <f t="shared" si="16"/>
        <v>66.27222222222534</v>
      </c>
      <c r="G82" s="1050">
        <f t="shared" si="16"/>
        <v>68.46666666666988</v>
      </c>
      <c r="H82" s="1051">
        <f t="shared" si="13"/>
        <v>58.37222222219671</v>
      </c>
      <c r="I82" s="1051">
        <f t="shared" si="14"/>
        <v>61.88333333341227</v>
      </c>
      <c r="J82" s="1051">
        <f t="shared" si="19"/>
        <v>64.07777777780449</v>
      </c>
      <c r="K82" s="1052">
        <f t="shared" si="20"/>
        <v>53.98333333340657</v>
      </c>
      <c r="L82" s="1052">
        <f t="shared" si="21"/>
        <v>57.49444444439382</v>
      </c>
      <c r="M82" s="1052">
        <f t="shared" si="22"/>
        <v>59.688888888795645</v>
      </c>
      <c r="N82" s="1053">
        <f t="shared" si="23"/>
        <v>39.5</v>
      </c>
      <c r="O82" s="1053">
        <f t="shared" si="24"/>
        <v>43.011111111193955</v>
      </c>
      <c r="P82" s="1053">
        <f t="shared" si="25"/>
        <v>45.20555555559878</v>
      </c>
      <c r="Q82" s="1054">
        <f t="shared" si="26"/>
        <v>37.305555555591376</v>
      </c>
      <c r="R82" s="1054">
        <f t="shared" si="27"/>
        <v>40.81666666660753</v>
      </c>
      <c r="S82" s="1054">
        <f t="shared" si="28"/>
        <v>43.011111111193955</v>
      </c>
      <c r="T82" s="1055">
        <f t="shared" si="29"/>
        <v>35.11111111117756</v>
      </c>
      <c r="U82" s="1055">
        <f t="shared" si="30"/>
        <v>38.62222222220361</v>
      </c>
      <c r="V82" s="1055">
        <f t="shared" si="31"/>
        <v>40.81666666660753</v>
      </c>
      <c r="W82" s="1056">
        <f t="shared" si="18"/>
        <v>32.91666666662164</v>
      </c>
      <c r="X82" s="1056">
        <f t="shared" si="18"/>
        <v>36.42777777779519</v>
      </c>
      <c r="Y82" s="1056">
        <f t="shared" si="18"/>
        <v>38.62222222220361</v>
      </c>
      <c r="Z82" s="1057">
        <f t="shared" si="18"/>
        <v>30.72222222220891</v>
      </c>
      <c r="AA82" s="1057">
        <f t="shared" si="18"/>
        <v>34.23333333338137</v>
      </c>
      <c r="AB82" s="1057">
        <f t="shared" si="18"/>
        <v>36.42777777779519</v>
      </c>
      <c r="AC82" s="1058">
        <f t="shared" si="18"/>
        <v>28.52777777778919</v>
      </c>
      <c r="AD82" s="1058">
        <f t="shared" si="18"/>
        <v>32.03888888883754</v>
      </c>
      <c r="AE82" s="1058">
        <f t="shared" si="18"/>
        <v>34.23333333338137</v>
      </c>
      <c r="AF82" s="1059">
        <f t="shared" si="18"/>
        <v>26.333333333360667</v>
      </c>
      <c r="AG82" s="1059">
        <f t="shared" si="18"/>
        <v>29.844444444419224</v>
      </c>
      <c r="AH82" s="1059">
        <f t="shared" si="9"/>
        <v>32.03888888883754</v>
      </c>
      <c r="AI82" s="1060">
        <f t="shared" si="9"/>
        <v>24.138888888869143</v>
      </c>
      <c r="AJ82" s="1060">
        <f t="shared" si="9"/>
        <v>27.65</v>
      </c>
      <c r="AK82" s="1060">
        <f t="shared" si="9"/>
        <v>29.844444444419224</v>
      </c>
    </row>
    <row r="83" spans="8:8" ht="15.75" customHeight="1">
      <c r="D83" s="1049">
        <f t="shared" si="17"/>
        <v>0.22222222222223276</v>
      </c>
      <c r="E83" s="1050">
        <f t="shared" si="15"/>
        <v>63.55555555555857</v>
      </c>
      <c r="F83" s="1050">
        <f t="shared" si="16"/>
        <v>67.1111111111143</v>
      </c>
      <c r="G83" s="1050">
        <f t="shared" si="16"/>
        <v>69.33333333333663</v>
      </c>
      <c r="H83" s="1051">
        <f t="shared" si="13"/>
        <v>59.11111111108561</v>
      </c>
      <c r="I83" s="1051">
        <f t="shared" si="14"/>
        <v>62.66666666674557</v>
      </c>
      <c r="J83" s="1051">
        <f t="shared" si="19"/>
        <v>64.88888888891559</v>
      </c>
      <c r="K83" s="1052">
        <f t="shared" si="20"/>
        <v>54.66666666673987</v>
      </c>
      <c r="L83" s="1052">
        <f t="shared" si="21"/>
        <v>58.22222222217162</v>
      </c>
      <c r="M83" s="1052">
        <f t="shared" si="22"/>
        <v>60.44444444435115</v>
      </c>
      <c r="N83" s="1053">
        <f t="shared" si="23"/>
        <v>40.0</v>
      </c>
      <c r="O83" s="1053">
        <f t="shared" si="24"/>
        <v>43.55555555563836</v>
      </c>
      <c r="P83" s="1053">
        <f t="shared" si="25"/>
        <v>45.77777777782098</v>
      </c>
      <c r="Q83" s="1054">
        <f t="shared" si="26"/>
        <v>37.777777777813576</v>
      </c>
      <c r="R83" s="1054">
        <f t="shared" si="27"/>
        <v>41.33333333327423</v>
      </c>
      <c r="S83" s="1054">
        <f t="shared" si="28"/>
        <v>43.55555555563836</v>
      </c>
      <c r="T83" s="1055">
        <f t="shared" si="29"/>
        <v>35.55555555562196</v>
      </c>
      <c r="U83" s="1055">
        <f t="shared" si="30"/>
        <v>39.11111111109251</v>
      </c>
      <c r="V83" s="1055">
        <f t="shared" si="31"/>
        <v>41.33333333327423</v>
      </c>
      <c r="W83" s="1056">
        <f t="shared" si="18"/>
        <v>33.33333333328834</v>
      </c>
      <c r="X83" s="1056">
        <f t="shared" si="18"/>
        <v>36.888888888906294</v>
      </c>
      <c r="Y83" s="1056">
        <f t="shared" si="18"/>
        <v>39.11111111109251</v>
      </c>
      <c r="Z83" s="1057">
        <f t="shared" si="18"/>
        <v>31.11111111109781</v>
      </c>
      <c r="AA83" s="1057">
        <f t="shared" si="18"/>
        <v>34.66666666671467</v>
      </c>
      <c r="AB83" s="1057">
        <f t="shared" si="18"/>
        <v>36.888888888906294</v>
      </c>
      <c r="AC83" s="1058">
        <f t="shared" si="18"/>
        <v>28.88888888890029</v>
      </c>
      <c r="AD83" s="1058">
        <f t="shared" si="18"/>
        <v>32.44444444439314</v>
      </c>
      <c r="AE83" s="1058">
        <f t="shared" si="18"/>
        <v>34.66666666671467</v>
      </c>
      <c r="AF83" s="1059">
        <f t="shared" si="18"/>
        <v>26.666666666693967</v>
      </c>
      <c r="AG83" s="1059">
        <f t="shared" si="18"/>
        <v>30.222222222197022</v>
      </c>
      <c r="AH83" s="1059">
        <f t="shared" si="9"/>
        <v>32.44444444439314</v>
      </c>
      <c r="AI83" s="1060">
        <f t="shared" si="9"/>
        <v>24.444444444424743</v>
      </c>
      <c r="AJ83" s="1060">
        <f t="shared" si="9"/>
        <v>28.0</v>
      </c>
      <c r="AK83" s="1060">
        <f t="shared" si="9"/>
        <v>30.222222222197022</v>
      </c>
    </row>
    <row r="84" spans="8:8" ht="15.75" customHeight="1">
      <c r="D84" s="1049">
        <f t="shared" si="17"/>
        <v>0.22500000000001077</v>
      </c>
      <c r="E84" s="1050">
        <f t="shared" si="15"/>
        <v>64.35000000000308</v>
      </c>
      <c r="F84" s="1050">
        <f t="shared" si="16"/>
        <v>67.95000000000326</v>
      </c>
      <c r="G84" s="1050">
        <f t="shared" si="16"/>
        <v>70.20000000000336</v>
      </c>
      <c r="H84" s="1051">
        <f t="shared" si="32" ref="H84:T99">H85-(H$363/360)</f>
        <v>59.849999999974514</v>
      </c>
      <c r="I84" s="1051">
        <f t="shared" si="32"/>
        <v>63.45000000007887</v>
      </c>
      <c r="J84" s="1051">
        <f t="shared" si="32"/>
        <v>65.70000000002668</v>
      </c>
      <c r="K84" s="1052">
        <f t="shared" si="32"/>
        <v>55.35000000007317</v>
      </c>
      <c r="L84" s="1052">
        <f t="shared" si="32"/>
        <v>58.94999999994942</v>
      </c>
      <c r="M84" s="1052">
        <f t="shared" si="32"/>
        <v>61.199999999906744</v>
      </c>
      <c r="N84" s="1053">
        <f t="shared" si="32"/>
        <v>40.5</v>
      </c>
      <c r="O84" s="1053">
        <f t="shared" si="32"/>
        <v>44.10000000008276</v>
      </c>
      <c r="P84" s="1053">
        <f t="shared" si="32"/>
        <v>46.350000000043174</v>
      </c>
      <c r="Q84" s="1054">
        <f t="shared" si="32"/>
        <v>38.250000000035776</v>
      </c>
      <c r="R84" s="1054">
        <f t="shared" si="32"/>
        <v>41.849999999940934</v>
      </c>
      <c r="S84" s="1054">
        <f t="shared" si="32"/>
        <v>44.10000000008276</v>
      </c>
      <c r="T84" s="1055">
        <f t="shared" si="32"/>
        <v>36.00000000006636</v>
      </c>
      <c r="U84" s="1055">
        <f t="shared" si="33" ref="U84:U106">U85-(U$363/360)</f>
        <v>39.599999999981414</v>
      </c>
      <c r="V84" s="1055">
        <f t="shared" si="34" ref="V84:V106">V85-(V$363/360)</f>
        <v>41.849999999940934</v>
      </c>
      <c r="W84" s="1056">
        <f t="shared" si="18"/>
        <v>33.74999999995504</v>
      </c>
      <c r="X84" s="1056">
        <f t="shared" si="18"/>
        <v>37.35000000001739</v>
      </c>
      <c r="Y84" s="1056">
        <f t="shared" si="18"/>
        <v>39.599999999981414</v>
      </c>
      <c r="Z84" s="1057">
        <f t="shared" si="18"/>
        <v>31.49999999998671</v>
      </c>
      <c r="AA84" s="1057">
        <f t="shared" si="18"/>
        <v>35.10000000004797</v>
      </c>
      <c r="AB84" s="1057">
        <f t="shared" si="18"/>
        <v>37.35000000001739</v>
      </c>
      <c r="AC84" s="1058">
        <f t="shared" si="18"/>
        <v>29.25000000001139</v>
      </c>
      <c r="AD84" s="1058">
        <f t="shared" si="18"/>
        <v>32.84999999994874</v>
      </c>
      <c r="AE84" s="1058">
        <f t="shared" si="18"/>
        <v>35.10000000004797</v>
      </c>
      <c r="AF84" s="1059">
        <f t="shared" si="18"/>
        <v>27.000000000027267</v>
      </c>
      <c r="AG84" s="1059">
        <f t="shared" si="18"/>
        <v>30.599999999974823</v>
      </c>
      <c r="AH84" s="1059">
        <f t="shared" si="9"/>
        <v>32.84999999994874</v>
      </c>
      <c r="AI84" s="1060">
        <f t="shared" si="9"/>
        <v>24.749999999980343</v>
      </c>
      <c r="AJ84" s="1060">
        <f t="shared" si="9"/>
        <v>28.349999999999998</v>
      </c>
      <c r="AK84" s="1060">
        <f t="shared" si="9"/>
        <v>30.599999999974823</v>
      </c>
    </row>
    <row r="85" spans="8:8" ht="15.75" customHeight="1">
      <c r="D85" s="1049">
        <f t="shared" si="17"/>
        <v>0.22777777777778876</v>
      </c>
      <c r="E85" s="1050">
        <f t="shared" si="15"/>
        <v>65.14444444444759</v>
      </c>
      <c r="F85" s="1050">
        <f t="shared" si="16"/>
        <v>68.7888888888922</v>
      </c>
      <c r="G85" s="1050">
        <f t="shared" si="16"/>
        <v>71.06666666667009</v>
      </c>
      <c r="H85" s="1051">
        <f t="shared" si="32"/>
        <v>60.588888888863416</v>
      </c>
      <c r="I85" s="1051">
        <f t="shared" si="32"/>
        <v>64.23333333341216</v>
      </c>
      <c r="J85" s="1051">
        <f t="shared" si="32"/>
        <v>66.51111111113778</v>
      </c>
      <c r="K85" s="1052">
        <f t="shared" si="32"/>
        <v>56.03333333340647</v>
      </c>
      <c r="L85" s="1052">
        <f t="shared" si="32"/>
        <v>59.67777777772722</v>
      </c>
      <c r="M85" s="1052">
        <f t="shared" si="32"/>
        <v>61.95555555546225</v>
      </c>
      <c r="N85" s="1053">
        <f t="shared" si="32"/>
        <v>41.0</v>
      </c>
      <c r="O85" s="1053">
        <f t="shared" si="32"/>
        <v>44.64444444452715</v>
      </c>
      <c r="P85" s="1053">
        <f t="shared" si="32"/>
        <v>46.922222222265376</v>
      </c>
      <c r="Q85" s="1054">
        <f t="shared" si="32"/>
        <v>38.722222222257976</v>
      </c>
      <c r="R85" s="1054">
        <f t="shared" si="32"/>
        <v>42.366666666607635</v>
      </c>
      <c r="S85" s="1054">
        <f t="shared" si="32"/>
        <v>44.64444444452715</v>
      </c>
      <c r="T85" s="1055">
        <f t="shared" si="32"/>
        <v>36.44444444451076</v>
      </c>
      <c r="U85" s="1055">
        <f t="shared" si="33"/>
        <v>40.088888888870315</v>
      </c>
      <c r="V85" s="1055">
        <f t="shared" si="34"/>
        <v>42.366666666607635</v>
      </c>
      <c r="W85" s="1056">
        <f t="shared" si="18"/>
        <v>34.16666666662174</v>
      </c>
      <c r="X85" s="1056">
        <f t="shared" si="18"/>
        <v>37.81111111112849</v>
      </c>
      <c r="Y85" s="1056">
        <f t="shared" si="18"/>
        <v>40.088888888870315</v>
      </c>
      <c r="Z85" s="1057">
        <f t="shared" si="18"/>
        <v>31.88888888887561</v>
      </c>
      <c r="AA85" s="1057">
        <f t="shared" si="18"/>
        <v>35.53333333338127</v>
      </c>
      <c r="AB85" s="1057">
        <f t="shared" si="18"/>
        <v>37.81111111112849</v>
      </c>
      <c r="AC85" s="1058">
        <f t="shared" si="18"/>
        <v>29.61111111112249</v>
      </c>
      <c r="AD85" s="1058">
        <f t="shared" si="18"/>
        <v>33.255555555504344</v>
      </c>
      <c r="AE85" s="1058">
        <f t="shared" si="18"/>
        <v>35.53333333338127</v>
      </c>
      <c r="AF85" s="1059">
        <f t="shared" si="18"/>
        <v>27.333333333360567</v>
      </c>
      <c r="AG85" s="1059">
        <f t="shared" si="18"/>
        <v>30.977777777752625</v>
      </c>
      <c r="AH85" s="1059">
        <f t="shared" si="9"/>
        <v>33.255555555504344</v>
      </c>
      <c r="AI85" s="1060">
        <f t="shared" si="9"/>
        <v>25.055555555535943</v>
      </c>
      <c r="AJ85" s="1060">
        <f t="shared" si="9"/>
        <v>28.7</v>
      </c>
      <c r="AK85" s="1060">
        <f t="shared" si="9"/>
        <v>30.977777777752625</v>
      </c>
    </row>
    <row r="86" spans="8:8" ht="15.75" customHeight="1">
      <c r="D86" s="1049">
        <f t="shared" si="17"/>
        <v>0.23055555555556675</v>
      </c>
      <c r="E86" s="1050">
        <f t="shared" si="15"/>
        <v>65.9388888888921</v>
      </c>
      <c r="F86" s="1050">
        <f t="shared" si="16"/>
        <v>69.62777777778116</v>
      </c>
      <c r="G86" s="1050">
        <f t="shared" si="16"/>
        <v>71.93333333333683</v>
      </c>
      <c r="H86" s="1051">
        <f t="shared" si="32"/>
        <v>61.32777777775231</v>
      </c>
      <c r="I86" s="1051">
        <f t="shared" si="32"/>
        <v>65.01666666674546</v>
      </c>
      <c r="J86" s="1051">
        <f t="shared" si="32"/>
        <v>67.32222222224888</v>
      </c>
      <c r="K86" s="1052">
        <f t="shared" si="32"/>
        <v>56.71666666673977</v>
      </c>
      <c r="L86" s="1052">
        <f t="shared" si="32"/>
        <v>60.40555555550502</v>
      </c>
      <c r="M86" s="1052">
        <f t="shared" si="32"/>
        <v>62.71111111101775</v>
      </c>
      <c r="N86" s="1053">
        <f t="shared" si="32"/>
        <v>41.5</v>
      </c>
      <c r="O86" s="1053">
        <f t="shared" si="32"/>
        <v>45.188888888971555</v>
      </c>
      <c r="P86" s="1053">
        <f t="shared" si="32"/>
        <v>47.49444444448758</v>
      </c>
      <c r="Q86" s="1054">
        <f t="shared" si="32"/>
        <v>39.194444444480176</v>
      </c>
      <c r="R86" s="1054">
        <f t="shared" si="32"/>
        <v>42.88333333327434</v>
      </c>
      <c r="S86" s="1054">
        <f t="shared" si="32"/>
        <v>45.188888888971555</v>
      </c>
      <c r="T86" s="1055">
        <f t="shared" si="32"/>
        <v>36.88888888895516</v>
      </c>
      <c r="U86" s="1055">
        <f t="shared" si="33"/>
        <v>40.577777777759216</v>
      </c>
      <c r="V86" s="1055">
        <f t="shared" si="34"/>
        <v>42.88333333327434</v>
      </c>
      <c r="W86" s="1056">
        <f t="shared" si="18"/>
        <v>34.58333333328844</v>
      </c>
      <c r="X86" s="1056">
        <f t="shared" si="18"/>
        <v>38.27222222223959</v>
      </c>
      <c r="Y86" s="1056">
        <f t="shared" si="18"/>
        <v>40.577777777759216</v>
      </c>
      <c r="Z86" s="1057">
        <f t="shared" si="18"/>
        <v>32.27777777776451</v>
      </c>
      <c r="AA86" s="1057">
        <f t="shared" si="18"/>
        <v>35.96666666671457</v>
      </c>
      <c r="AB86" s="1057">
        <f t="shared" si="18"/>
        <v>38.27222222223959</v>
      </c>
      <c r="AC86" s="1058">
        <f t="shared" si="18"/>
        <v>29.97222222223359</v>
      </c>
      <c r="AD86" s="1058">
        <f t="shared" si="18"/>
        <v>33.66111111105994</v>
      </c>
      <c r="AE86" s="1058">
        <f t="shared" si="18"/>
        <v>35.96666666671457</v>
      </c>
      <c r="AF86" s="1059">
        <f t="shared" si="18"/>
        <v>27.666666666693867</v>
      </c>
      <c r="AG86" s="1059">
        <f t="shared" si="18"/>
        <v>31.355555555530422</v>
      </c>
      <c r="AH86" s="1059">
        <f t="shared" si="9"/>
        <v>33.66111111105994</v>
      </c>
      <c r="AI86" s="1060">
        <f t="shared" si="9"/>
        <v>25.361111111091542</v>
      </c>
      <c r="AJ86" s="1060">
        <f t="shared" si="9"/>
        <v>29.049999999999997</v>
      </c>
      <c r="AK86" s="1060">
        <f t="shared" si="9"/>
        <v>31.355555555530422</v>
      </c>
    </row>
    <row r="87" spans="8:8" ht="15.75" customHeight="1">
      <c r="D87" s="1049">
        <f t="shared" si="17"/>
        <v>0.23333333333334477</v>
      </c>
      <c r="E87" s="1050">
        <f t="shared" si="15"/>
        <v>66.7333333333366</v>
      </c>
      <c r="F87" s="1050">
        <f t="shared" si="16"/>
        <v>70.46666666667012</v>
      </c>
      <c r="G87" s="1050">
        <f t="shared" si="16"/>
        <v>72.80000000000356</v>
      </c>
      <c r="H87" s="1051">
        <f t="shared" si="32"/>
        <v>62.06666666664121</v>
      </c>
      <c r="I87" s="1051">
        <f t="shared" si="32"/>
        <v>65.80000000007877</v>
      </c>
      <c r="J87" s="1051">
        <f t="shared" si="32"/>
        <v>68.13333333335999</v>
      </c>
      <c r="K87" s="1052">
        <f t="shared" si="32"/>
        <v>57.40000000007307</v>
      </c>
      <c r="L87" s="1052">
        <f t="shared" si="32"/>
        <v>61.13333333328282</v>
      </c>
      <c r="M87" s="1052">
        <f t="shared" si="32"/>
        <v>63.46666666657325</v>
      </c>
      <c r="N87" s="1053">
        <f t="shared" si="32"/>
        <v>42.0</v>
      </c>
      <c r="O87" s="1053">
        <f t="shared" si="32"/>
        <v>45.733333333415956</v>
      </c>
      <c r="P87" s="1053">
        <f t="shared" si="32"/>
        <v>48.06666666670978</v>
      </c>
      <c r="Q87" s="1054">
        <f t="shared" si="32"/>
        <v>39.666666666702376</v>
      </c>
      <c r="R87" s="1054">
        <f t="shared" si="32"/>
        <v>43.39999999994104</v>
      </c>
      <c r="S87" s="1054">
        <f t="shared" si="32"/>
        <v>45.733333333415956</v>
      </c>
      <c r="T87" s="1055">
        <f t="shared" si="32"/>
        <v>37.33333333339956</v>
      </c>
      <c r="U87" s="1055">
        <f t="shared" si="33"/>
        <v>41.06666666664811</v>
      </c>
      <c r="V87" s="1055">
        <f t="shared" si="34"/>
        <v>43.39999999994104</v>
      </c>
      <c r="W87" s="1056">
        <f t="shared" si="18"/>
        <v>34.999999999955136</v>
      </c>
      <c r="X87" s="1056">
        <f t="shared" si="18"/>
        <v>38.73333333335069</v>
      </c>
      <c r="Y87" s="1056">
        <f t="shared" si="18"/>
        <v>41.06666666664811</v>
      </c>
      <c r="Z87" s="1057">
        <f t="shared" si="18"/>
        <v>32.66666666665341</v>
      </c>
      <c r="AA87" s="1057">
        <f t="shared" si="18"/>
        <v>36.40000000004787</v>
      </c>
      <c r="AB87" s="1057">
        <f t="shared" si="18"/>
        <v>38.73333333335069</v>
      </c>
      <c r="AC87" s="1058">
        <f t="shared" si="18"/>
        <v>30.33333333334469</v>
      </c>
      <c r="AD87" s="1058">
        <f t="shared" si="18"/>
        <v>34.06666666661554</v>
      </c>
      <c r="AE87" s="1058">
        <f t="shared" si="18"/>
        <v>36.40000000004787</v>
      </c>
      <c r="AF87" s="1059">
        <f t="shared" si="18"/>
        <v>28.000000000027168</v>
      </c>
      <c r="AG87" s="1059">
        <f t="shared" si="18"/>
        <v>31.73333333330822</v>
      </c>
      <c r="AH87" s="1059">
        <f t="shared" si="9"/>
        <v>34.06666666661554</v>
      </c>
      <c r="AI87" s="1060">
        <f t="shared" si="9"/>
        <v>25.666666666647142</v>
      </c>
      <c r="AJ87" s="1060">
        <f t="shared" si="9"/>
        <v>29.4</v>
      </c>
      <c r="AK87" s="1060">
        <f t="shared" si="9"/>
        <v>31.73333333330822</v>
      </c>
    </row>
    <row r="88" spans="8:8" ht="15.75" customHeight="1">
      <c r="D88" s="1049">
        <f t="shared" si="17"/>
        <v>0.23611111111112276</v>
      </c>
      <c r="E88" s="1050">
        <f t="shared" si="15"/>
        <v>67.52777777778111</v>
      </c>
      <c r="F88" s="1050">
        <f t="shared" si="16"/>
        <v>71.30555555555907</v>
      </c>
      <c r="G88" s="1050">
        <f t="shared" si="16"/>
        <v>73.6666666666703</v>
      </c>
      <c r="H88" s="1051">
        <f t="shared" si="32"/>
        <v>62.80555555553011</v>
      </c>
      <c r="I88" s="1051">
        <f t="shared" si="32"/>
        <v>66.58333333341207</v>
      </c>
      <c r="J88" s="1051">
        <f t="shared" si="32"/>
        <v>68.94444444447109</v>
      </c>
      <c r="K88" s="1052">
        <f t="shared" si="32"/>
        <v>58.08333333340637</v>
      </c>
      <c r="L88" s="1052">
        <f t="shared" si="32"/>
        <v>61.861111111060616</v>
      </c>
      <c r="M88" s="1052">
        <f t="shared" si="32"/>
        <v>64.22222222212883</v>
      </c>
      <c r="N88" s="1053">
        <f t="shared" si="32"/>
        <v>42.5</v>
      </c>
      <c r="O88" s="1053">
        <f t="shared" si="32"/>
        <v>46.27777777786036</v>
      </c>
      <c r="P88" s="1053">
        <f t="shared" si="32"/>
        <v>48.63888888893198</v>
      </c>
      <c r="Q88" s="1054">
        <f t="shared" si="32"/>
        <v>40.138888888924576</v>
      </c>
      <c r="R88" s="1054">
        <f t="shared" si="32"/>
        <v>43.91666666660773</v>
      </c>
      <c r="S88" s="1054">
        <f t="shared" si="32"/>
        <v>46.27777777786036</v>
      </c>
      <c r="T88" s="1055">
        <f t="shared" si="32"/>
        <v>37.77777777784396</v>
      </c>
      <c r="U88" s="1055">
        <f t="shared" si="33"/>
        <v>41.55555555553701</v>
      </c>
      <c r="V88" s="1055">
        <f t="shared" si="34"/>
        <v>43.91666666660773</v>
      </c>
      <c r="W88" s="1056">
        <f t="shared" si="18"/>
        <v>35.416666666621836</v>
      </c>
      <c r="X88" s="1056">
        <f t="shared" si="18"/>
        <v>39.194444444461794</v>
      </c>
      <c r="Y88" s="1056">
        <f t="shared" si="18"/>
        <v>41.55555555553701</v>
      </c>
      <c r="Z88" s="1057">
        <f t="shared" si="18"/>
        <v>33.05555555554231</v>
      </c>
      <c r="AA88" s="1057">
        <f t="shared" si="18"/>
        <v>36.83333333338117</v>
      </c>
      <c r="AB88" s="1057">
        <f t="shared" si="18"/>
        <v>39.194444444461794</v>
      </c>
      <c r="AC88" s="1058">
        <f t="shared" si="18"/>
        <v>30.69444444445579</v>
      </c>
      <c r="AD88" s="1058">
        <f t="shared" si="18"/>
        <v>34.47222222217114</v>
      </c>
      <c r="AE88" s="1058">
        <f t="shared" si="18"/>
        <v>36.83333333338117</v>
      </c>
      <c r="AF88" s="1059">
        <f t="shared" si="18"/>
        <v>28.333333333360468</v>
      </c>
      <c r="AG88" s="1059">
        <f t="shared" si="18"/>
        <v>32.11111111108602</v>
      </c>
      <c r="AH88" s="1059">
        <f t="shared" si="9"/>
        <v>34.47222222217114</v>
      </c>
      <c r="AI88" s="1060">
        <f t="shared" si="9"/>
        <v>25.972222222202742</v>
      </c>
      <c r="AJ88" s="1060">
        <f t="shared" si="9"/>
        <v>29.75</v>
      </c>
      <c r="AK88" s="1060">
        <f t="shared" si="9"/>
        <v>32.11111111108602</v>
      </c>
    </row>
    <row r="89" spans="8:8" ht="15.75" customHeight="1">
      <c r="D89" s="1049">
        <f t="shared" si="17"/>
        <v>0.23888888888890078</v>
      </c>
      <c r="E89" s="1050">
        <f t="shared" si="15"/>
        <v>68.32222222222562</v>
      </c>
      <c r="F89" s="1050">
        <f t="shared" si="16"/>
        <v>72.14444444444804</v>
      </c>
      <c r="G89" s="1050">
        <f t="shared" si="16"/>
        <v>74.53333333333704</v>
      </c>
      <c r="H89" s="1051">
        <f t="shared" si="32"/>
        <v>63.54444444441901</v>
      </c>
      <c r="I89" s="1051">
        <f t="shared" si="32"/>
        <v>67.36666666674537</v>
      </c>
      <c r="J89" s="1051">
        <f t="shared" si="32"/>
        <v>69.75555555558218</v>
      </c>
      <c r="K89" s="1052">
        <f t="shared" si="32"/>
        <v>58.76666666673967</v>
      </c>
      <c r="L89" s="1052">
        <f t="shared" si="32"/>
        <v>62.58888888883842</v>
      </c>
      <c r="M89" s="1052">
        <f t="shared" si="32"/>
        <v>64.97777777768444</v>
      </c>
      <c r="N89" s="1053">
        <f t="shared" si="32"/>
        <v>43.0</v>
      </c>
      <c r="O89" s="1053">
        <f t="shared" si="32"/>
        <v>46.82222222230475</v>
      </c>
      <c r="P89" s="1053">
        <f t="shared" si="32"/>
        <v>49.211111111154175</v>
      </c>
      <c r="Q89" s="1054">
        <f t="shared" si="32"/>
        <v>40.611111111146776</v>
      </c>
      <c r="R89" s="1054">
        <f t="shared" si="32"/>
        <v>44.43333333327443</v>
      </c>
      <c r="S89" s="1054">
        <f t="shared" si="32"/>
        <v>46.82222222230475</v>
      </c>
      <c r="T89" s="1055">
        <f t="shared" si="32"/>
        <v>38.22222222228836</v>
      </c>
      <c r="U89" s="1055">
        <f t="shared" si="33"/>
        <v>42.04444444442591</v>
      </c>
      <c r="V89" s="1055">
        <f t="shared" si="34"/>
        <v>44.43333333327443</v>
      </c>
      <c r="W89" s="1056">
        <f t="shared" si="18"/>
        <v>35.833333333288536</v>
      </c>
      <c r="X89" s="1056">
        <f t="shared" si="18"/>
        <v>39.65555555557289</v>
      </c>
      <c r="Y89" s="1056">
        <f t="shared" si="18"/>
        <v>42.04444444442591</v>
      </c>
      <c r="Z89" s="1057">
        <f t="shared" si="18"/>
        <v>33.44444444443121</v>
      </c>
      <c r="AA89" s="1057">
        <f t="shared" si="18"/>
        <v>37.26666666671447</v>
      </c>
      <c r="AB89" s="1057">
        <f t="shared" si="18"/>
        <v>39.65555555557289</v>
      </c>
      <c r="AC89" s="1058">
        <f t="shared" si="18"/>
        <v>31.05555555556689</v>
      </c>
      <c r="AD89" s="1058">
        <f t="shared" si="18"/>
        <v>34.87777777772674</v>
      </c>
      <c r="AE89" s="1058">
        <f t="shared" si="18"/>
        <v>37.26666666671447</v>
      </c>
      <c r="AF89" s="1059">
        <f t="shared" si="18"/>
        <v>28.666666666693768</v>
      </c>
      <c r="AG89" s="1059">
        <f t="shared" si="18"/>
        <v>32.48888888886382</v>
      </c>
      <c r="AH89" s="1059">
        <f t="shared" si="9"/>
        <v>34.87777777772674</v>
      </c>
      <c r="AI89" s="1060">
        <f t="shared" si="9"/>
        <v>26.27777777775834</v>
      </c>
      <c r="AJ89" s="1060">
        <f t="shared" si="9"/>
        <v>30.099999999999998</v>
      </c>
      <c r="AK89" s="1060">
        <f t="shared" si="9"/>
        <v>32.48888888886382</v>
      </c>
    </row>
    <row r="90" spans="8:8" ht="15.75" customHeight="1">
      <c r="D90" s="1049">
        <f t="shared" si="17"/>
        <v>0.24166666666667877</v>
      </c>
      <c r="E90" s="1050">
        <f t="shared" si="15"/>
        <v>69.11666666667013</v>
      </c>
      <c r="F90" s="1050">
        <f t="shared" si="16"/>
        <v>72.98333333333699</v>
      </c>
      <c r="G90" s="1050">
        <f t="shared" si="16"/>
        <v>75.40000000000377</v>
      </c>
      <c r="H90" s="1051">
        <f t="shared" si="32"/>
        <v>64.28333333330791</v>
      </c>
      <c r="I90" s="1051">
        <f t="shared" si="32"/>
        <v>68.15000000007866</v>
      </c>
      <c r="J90" s="1051">
        <f t="shared" si="32"/>
        <v>70.56666666669328</v>
      </c>
      <c r="K90" s="1052">
        <f t="shared" si="32"/>
        <v>59.45000000007297</v>
      </c>
      <c r="L90" s="1052">
        <f t="shared" si="32"/>
        <v>63.31666666661622</v>
      </c>
      <c r="M90" s="1052">
        <f t="shared" si="32"/>
        <v>65.73333333324004</v>
      </c>
      <c r="N90" s="1053">
        <f t="shared" si="32"/>
        <v>43.5</v>
      </c>
      <c r="O90" s="1053">
        <f t="shared" si="32"/>
        <v>47.366666666749154</v>
      </c>
      <c r="P90" s="1053">
        <f t="shared" si="32"/>
        <v>49.783333333376376</v>
      </c>
      <c r="Q90" s="1054">
        <f t="shared" si="32"/>
        <v>41.08333333336898</v>
      </c>
      <c r="R90" s="1054">
        <f t="shared" si="32"/>
        <v>44.949999999941134</v>
      </c>
      <c r="S90" s="1054">
        <f t="shared" si="32"/>
        <v>47.366666666749154</v>
      </c>
      <c r="T90" s="1055">
        <f t="shared" si="32"/>
        <v>38.66666666673276</v>
      </c>
      <c r="U90" s="1055">
        <f t="shared" si="33"/>
        <v>42.533333333314815</v>
      </c>
      <c r="V90" s="1055">
        <f t="shared" si="34"/>
        <v>44.949999999941134</v>
      </c>
      <c r="W90" s="1056">
        <f t="shared" si="18"/>
        <v>36.249999999955236</v>
      </c>
      <c r="X90" s="1056">
        <f t="shared" si="18"/>
        <v>40.11666666668399</v>
      </c>
      <c r="Y90" s="1056">
        <f t="shared" si="18"/>
        <v>42.533333333314815</v>
      </c>
      <c r="Z90" s="1057">
        <f t="shared" si="18"/>
        <v>33.83333333332011</v>
      </c>
      <c r="AA90" s="1057">
        <f t="shared" si="18"/>
        <v>37.70000000004777</v>
      </c>
      <c r="AB90" s="1057">
        <f t="shared" si="18"/>
        <v>40.11666666668399</v>
      </c>
      <c r="AC90" s="1058">
        <f t="shared" si="18"/>
        <v>31.41666666667799</v>
      </c>
      <c r="AD90" s="1058">
        <f t="shared" si="18"/>
        <v>35.28333333328234</v>
      </c>
      <c r="AE90" s="1058">
        <f t="shared" si="18"/>
        <v>37.70000000004777</v>
      </c>
      <c r="AF90" s="1059">
        <f t="shared" si="18"/>
        <v>29.000000000027068</v>
      </c>
      <c r="AG90" s="1059">
        <f t="shared" si="18"/>
        <v>32.86666666664162</v>
      </c>
      <c r="AH90" s="1059">
        <f t="shared" si="9"/>
        <v>35.28333333328234</v>
      </c>
      <c r="AI90" s="1060">
        <f t="shared" si="9"/>
        <v>26.58333333331394</v>
      </c>
      <c r="AJ90" s="1060">
        <f t="shared" si="9"/>
        <v>30.45</v>
      </c>
      <c r="AK90" s="1060">
        <f t="shared" si="9"/>
        <v>32.86666666664162</v>
      </c>
    </row>
    <row r="91" spans="8:8" ht="15.75" customHeight="1">
      <c r="D91" s="1049">
        <f t="shared" si="17"/>
        <v>0.24444444444445676</v>
      </c>
      <c r="E91" s="1050">
        <f t="shared" si="15"/>
        <v>69.91111111111464</v>
      </c>
      <c r="F91" s="1050">
        <f t="shared" si="16"/>
        <v>73.82222222222595</v>
      </c>
      <c r="G91" s="1050">
        <f t="shared" si="16"/>
        <v>76.2666666666705</v>
      </c>
      <c r="H91" s="1051">
        <f t="shared" si="32"/>
        <v>65.0222222221968</v>
      </c>
      <c r="I91" s="1051">
        <f t="shared" si="32"/>
        <v>68.93333333341197</v>
      </c>
      <c r="J91" s="1051">
        <f t="shared" si="32"/>
        <v>71.37777777780438</v>
      </c>
      <c r="K91" s="1052">
        <f t="shared" si="32"/>
        <v>60.13333333340627</v>
      </c>
      <c r="L91" s="1052">
        <f t="shared" si="32"/>
        <v>64.04444444439403</v>
      </c>
      <c r="M91" s="1052">
        <f t="shared" si="32"/>
        <v>66.48888888879564</v>
      </c>
      <c r="N91" s="1053">
        <f t="shared" si="32"/>
        <v>44.0</v>
      </c>
      <c r="O91" s="1053">
        <f t="shared" si="32"/>
        <v>47.911111111193556</v>
      </c>
      <c r="P91" s="1053">
        <f t="shared" si="32"/>
        <v>50.35555555559858</v>
      </c>
      <c r="Q91" s="1054">
        <f t="shared" si="32"/>
        <v>41.55555555559118</v>
      </c>
      <c r="R91" s="1054">
        <f t="shared" si="32"/>
        <v>45.466666666607836</v>
      </c>
      <c r="S91" s="1054">
        <f t="shared" si="32"/>
        <v>47.911111111193556</v>
      </c>
      <c r="T91" s="1055">
        <f t="shared" si="32"/>
        <v>39.11111111117716</v>
      </c>
      <c r="U91" s="1055">
        <f t="shared" si="33"/>
        <v>43.022222222203716</v>
      </c>
      <c r="V91" s="1055">
        <f t="shared" si="34"/>
        <v>45.466666666607836</v>
      </c>
      <c r="W91" s="1056">
        <f t="shared" si="18"/>
        <v>36.666666666621936</v>
      </c>
      <c r="X91" s="1056">
        <f t="shared" si="18"/>
        <v>40.57777777779509</v>
      </c>
      <c r="Y91" s="1056">
        <f t="shared" si="18"/>
        <v>43.022222222203716</v>
      </c>
      <c r="Z91" s="1057">
        <f t="shared" si="18"/>
        <v>34.22222222220901</v>
      </c>
      <c r="AA91" s="1057">
        <f t="shared" si="18"/>
        <v>38.13333333338107</v>
      </c>
      <c r="AB91" s="1057">
        <f t="shared" si="18"/>
        <v>40.57777777779509</v>
      </c>
      <c r="AC91" s="1058">
        <f t="shared" si="18"/>
        <v>31.777777777789087</v>
      </c>
      <c r="AD91" s="1058">
        <f t="shared" si="18"/>
        <v>35.688888888837944</v>
      </c>
      <c r="AE91" s="1058">
        <f t="shared" si="18"/>
        <v>38.13333333338107</v>
      </c>
      <c r="AF91" s="1059">
        <f t="shared" si="18"/>
        <v>29.33333333336037</v>
      </c>
      <c r="AG91" s="1059">
        <f t="shared" si="18"/>
        <v>33.24444444441942</v>
      </c>
      <c r="AH91" s="1059">
        <f t="shared" si="9"/>
        <v>35.688888888837944</v>
      </c>
      <c r="AI91" s="1060">
        <f t="shared" si="9"/>
        <v>26.88888888886954</v>
      </c>
      <c r="AJ91" s="1060">
        <f t="shared" si="9"/>
        <v>30.799999999999997</v>
      </c>
      <c r="AK91" s="1060">
        <f t="shared" si="9"/>
        <v>33.24444444441942</v>
      </c>
    </row>
    <row r="92" spans="8:8" ht="15.75" customHeight="1">
      <c r="D92" s="1049">
        <f t="shared" si="17"/>
        <v>0.24722222222223478</v>
      </c>
      <c r="E92" s="1050">
        <f t="shared" si="15"/>
        <v>70.70555555555914</v>
      </c>
      <c r="F92" s="1050">
        <f t="shared" si="16"/>
        <v>74.6611111111149</v>
      </c>
      <c r="G92" s="1050">
        <f t="shared" si="16"/>
        <v>77.13333333333725</v>
      </c>
      <c r="H92" s="1051">
        <f t="shared" si="32"/>
        <v>65.76111111108571</v>
      </c>
      <c r="I92" s="1051">
        <f t="shared" si="32"/>
        <v>69.71666666674527</v>
      </c>
      <c r="J92" s="1051">
        <f t="shared" si="32"/>
        <v>72.18888888891549</v>
      </c>
      <c r="K92" s="1052">
        <f t="shared" si="32"/>
        <v>60.81666666673957</v>
      </c>
      <c r="L92" s="1052">
        <f t="shared" si="32"/>
        <v>64.77222222217182</v>
      </c>
      <c r="M92" s="1052">
        <f t="shared" si="32"/>
        <v>67.24444444435115</v>
      </c>
      <c r="N92" s="1053">
        <f t="shared" si="32"/>
        <v>44.5</v>
      </c>
      <c r="O92" s="1053">
        <f t="shared" si="32"/>
        <v>48.45555555563796</v>
      </c>
      <c r="P92" s="1053">
        <f t="shared" si="32"/>
        <v>50.92777777782078</v>
      </c>
      <c r="Q92" s="1054">
        <f t="shared" si="32"/>
        <v>42.02777777781338</v>
      </c>
      <c r="R92" s="1054">
        <f t="shared" si="32"/>
        <v>45.98333333327454</v>
      </c>
      <c r="S92" s="1054">
        <f t="shared" si="32"/>
        <v>48.45555555563796</v>
      </c>
      <c r="T92" s="1055">
        <f t="shared" si="32"/>
        <v>39.55555555562156</v>
      </c>
      <c r="U92" s="1055">
        <f t="shared" si="33"/>
        <v>43.51111111109261</v>
      </c>
      <c r="V92" s="1055">
        <f t="shared" si="34"/>
        <v>45.98333333327454</v>
      </c>
      <c r="W92" s="1056">
        <f t="shared" si="18"/>
        <v>37.083333333288635</v>
      </c>
      <c r="X92" s="1056">
        <f t="shared" si="18"/>
        <v>41.03888888890619</v>
      </c>
      <c r="Y92" s="1056">
        <f t="shared" si="18"/>
        <v>43.51111111109261</v>
      </c>
      <c r="Z92" s="1057">
        <f t="shared" si="18"/>
        <v>34.61111111109791</v>
      </c>
      <c r="AA92" s="1057">
        <f t="shared" si="18"/>
        <v>38.56666666671437</v>
      </c>
      <c r="AB92" s="1057">
        <f t="shared" si="18"/>
        <v>41.03888888890619</v>
      </c>
      <c r="AC92" s="1058">
        <f t="shared" si="18"/>
        <v>32.13888888890018</v>
      </c>
      <c r="AD92" s="1058">
        <f t="shared" si="18"/>
        <v>36.09444444439354</v>
      </c>
      <c r="AE92" s="1058">
        <f t="shared" si="18"/>
        <v>38.56666666671437</v>
      </c>
      <c r="AF92" s="1059">
        <f t="shared" si="18"/>
        <v>29.66666666669367</v>
      </c>
      <c r="AG92" s="1059">
        <f t="shared" si="18"/>
        <v>33.62222222219722</v>
      </c>
      <c r="AH92" s="1059">
        <f t="shared" si="9"/>
        <v>36.09444444439354</v>
      </c>
      <c r="AI92" s="1060">
        <f t="shared" si="9"/>
        <v>27.194444444425145</v>
      </c>
      <c r="AJ92" s="1060">
        <f t="shared" si="9"/>
        <v>31.15</v>
      </c>
      <c r="AK92" s="1060">
        <f t="shared" si="9"/>
        <v>33.62222222219722</v>
      </c>
    </row>
    <row r="93" spans="8:8" ht="15.75" customHeight="1">
      <c r="D93" s="1049">
        <f t="shared" si="17"/>
        <v>0.25000000000001277</v>
      </c>
      <c r="E93" s="1050">
        <f t="shared" si="15"/>
        <v>71.50000000000365</v>
      </c>
      <c r="F93" s="1050">
        <f t="shared" si="16"/>
        <v>75.50000000000385</v>
      </c>
      <c r="G93" s="1050">
        <f t="shared" si="16"/>
        <v>78.00000000000398</v>
      </c>
      <c r="H93" s="1051">
        <f t="shared" si="32"/>
        <v>66.4999999999746</v>
      </c>
      <c r="I93" s="1051">
        <f t="shared" si="32"/>
        <v>70.50000000007857</v>
      </c>
      <c r="J93" s="1051">
        <f t="shared" si="32"/>
        <v>73.00000000002659</v>
      </c>
      <c r="K93" s="1052">
        <f t="shared" si="32"/>
        <v>61.50000000007287</v>
      </c>
      <c r="L93" s="1052">
        <f t="shared" si="32"/>
        <v>65.49999999994962</v>
      </c>
      <c r="M93" s="1052">
        <f t="shared" si="32"/>
        <v>67.99999999990673</v>
      </c>
      <c r="N93" s="1053">
        <f t="shared" si="32"/>
        <v>45.0</v>
      </c>
      <c r="O93" s="1053">
        <f t="shared" si="32"/>
        <v>49.00000000008236</v>
      </c>
      <c r="P93" s="1053">
        <f t="shared" si="32"/>
        <v>51.500000000042974</v>
      </c>
      <c r="Q93" s="1054">
        <f t="shared" si="32"/>
        <v>42.50000000003558</v>
      </c>
      <c r="R93" s="1054">
        <f t="shared" si="32"/>
        <v>46.49999999994123</v>
      </c>
      <c r="S93" s="1054">
        <f t="shared" si="32"/>
        <v>49.00000000008236</v>
      </c>
      <c r="T93" s="1055">
        <f t="shared" si="32"/>
        <v>40.00000000006596</v>
      </c>
      <c r="U93" s="1055">
        <f t="shared" si="33"/>
        <v>43.99999999998151</v>
      </c>
      <c r="V93" s="1055">
        <f t="shared" si="34"/>
        <v>46.49999999994123</v>
      </c>
      <c r="W93" s="1056">
        <f t="shared" si="18"/>
        <v>37.499999999955335</v>
      </c>
      <c r="X93" s="1056">
        <f t="shared" si="18"/>
        <v>41.500000000017295</v>
      </c>
      <c r="Y93" s="1056">
        <f t="shared" si="18"/>
        <v>43.99999999998151</v>
      </c>
      <c r="Z93" s="1057">
        <f t="shared" si="18"/>
        <v>34.99999999998681</v>
      </c>
      <c r="AA93" s="1057">
        <f t="shared" si="18"/>
        <v>39.00000000004767</v>
      </c>
      <c r="AB93" s="1057">
        <f t="shared" si="18"/>
        <v>41.500000000017295</v>
      </c>
      <c r="AC93" s="1058">
        <f t="shared" si="18"/>
        <v>32.50000000001128</v>
      </c>
      <c r="AD93" s="1058">
        <f t="shared" si="18"/>
        <v>36.49999999994914</v>
      </c>
      <c r="AE93" s="1058">
        <f t="shared" si="18"/>
        <v>39.00000000004767</v>
      </c>
      <c r="AF93" s="1059">
        <f t="shared" si="18"/>
        <v>30.00000000002697</v>
      </c>
      <c r="AG93" s="1059">
        <f t="shared" si="18"/>
        <v>33.99999999997502</v>
      </c>
      <c r="AH93" s="1059">
        <f t="shared" si="9"/>
        <v>36.49999999994914</v>
      </c>
      <c r="AI93" s="1060">
        <f t="shared" si="9"/>
        <v>27.499999999980744</v>
      </c>
      <c r="AJ93" s="1060">
        <f t="shared" si="9"/>
        <v>31.5</v>
      </c>
      <c r="AK93" s="1060">
        <f t="shared" si="9"/>
        <v>33.99999999997502</v>
      </c>
    </row>
    <row r="94" spans="8:8" ht="15.75" customHeight="1">
      <c r="D94" s="1049">
        <f t="shared" si="17"/>
        <v>0.25277777777779076</v>
      </c>
      <c r="E94" s="1050">
        <f t="shared" si="15"/>
        <v>72.29444444444816</v>
      </c>
      <c r="F94" s="1050">
        <f t="shared" si="16"/>
        <v>76.33888888889281</v>
      </c>
      <c r="G94" s="1050">
        <f t="shared" si="16"/>
        <v>78.86666666667071</v>
      </c>
      <c r="H94" s="1051">
        <f t="shared" si="32"/>
        <v>67.2388888888635</v>
      </c>
      <c r="I94" s="1051">
        <f t="shared" si="32"/>
        <v>71.28333333341187</v>
      </c>
      <c r="J94" s="1051">
        <f t="shared" si="32"/>
        <v>73.81111111113768</v>
      </c>
      <c r="K94" s="1052">
        <f t="shared" si="32"/>
        <v>62.18333333340617</v>
      </c>
      <c r="L94" s="1052">
        <f t="shared" si="32"/>
        <v>66.22777777772743</v>
      </c>
      <c r="M94" s="1052">
        <f t="shared" si="32"/>
        <v>68.75555555546234</v>
      </c>
      <c r="N94" s="1053">
        <f t="shared" si="32"/>
        <v>45.5</v>
      </c>
      <c r="O94" s="1053">
        <f t="shared" si="32"/>
        <v>49.544444444526754</v>
      </c>
      <c r="P94" s="1053">
        <f t="shared" si="32"/>
        <v>52.072222222265175</v>
      </c>
      <c r="Q94" s="1054">
        <f t="shared" si="32"/>
        <v>42.97222222225778</v>
      </c>
      <c r="R94" s="1054">
        <f t="shared" si="32"/>
        <v>47.01666666660793</v>
      </c>
      <c r="S94" s="1054">
        <f t="shared" si="32"/>
        <v>49.544444444526754</v>
      </c>
      <c r="T94" s="1055">
        <f t="shared" si="32"/>
        <v>40.44444444451036</v>
      </c>
      <c r="U94" s="1055">
        <f t="shared" si="33"/>
        <v>44.48888888887041</v>
      </c>
      <c r="V94" s="1055">
        <f t="shared" si="34"/>
        <v>47.01666666660793</v>
      </c>
      <c r="W94" s="1056">
        <f t="shared" si="18"/>
        <v>37.916666666622035</v>
      </c>
      <c r="X94" s="1056">
        <f t="shared" si="18"/>
        <v>41.96111111112839</v>
      </c>
      <c r="Y94" s="1056">
        <f t="shared" si="18"/>
        <v>44.48888888887041</v>
      </c>
      <c r="Z94" s="1057">
        <f t="shared" si="18"/>
        <v>35.38888888887571</v>
      </c>
      <c r="AA94" s="1057">
        <f t="shared" si="18"/>
        <v>39.43333333338097</v>
      </c>
      <c r="AB94" s="1057">
        <f t="shared" si="18"/>
        <v>41.96111111112839</v>
      </c>
      <c r="AC94" s="1058">
        <f t="shared" si="18"/>
        <v>32.86111111112238</v>
      </c>
      <c r="AD94" s="1058">
        <f t="shared" si="18"/>
        <v>36.90555555550474</v>
      </c>
      <c r="AE94" s="1058">
        <f t="shared" si="18"/>
        <v>39.43333333338097</v>
      </c>
      <c r="AF94" s="1059">
        <f t="shared" si="18"/>
        <v>30.33333333336027</v>
      </c>
      <c r="AG94" s="1059">
        <f t="shared" si="18"/>
        <v>34.37777777775282</v>
      </c>
      <c r="AH94" s="1059">
        <f t="shared" si="9"/>
        <v>36.90555555550474</v>
      </c>
      <c r="AI94" s="1060">
        <f t="shared" si="9"/>
        <v>27.805555555536344</v>
      </c>
      <c r="AJ94" s="1060">
        <f t="shared" si="9"/>
        <v>31.85</v>
      </c>
      <c r="AK94" s="1060">
        <f t="shared" si="9"/>
        <v>34.37777777775282</v>
      </c>
    </row>
    <row r="95" spans="8:8" ht="15.75" customHeight="1">
      <c r="D95" s="1049">
        <f t="shared" si="17"/>
        <v>0.25555555555556875</v>
      </c>
      <c r="E95" s="1050">
        <f t="shared" si="15"/>
        <v>73.08888888889267</v>
      </c>
      <c r="F95" s="1050">
        <f t="shared" si="16"/>
        <v>77.17777777778176</v>
      </c>
      <c r="G95" s="1050">
        <f t="shared" si="16"/>
        <v>79.73333333333746</v>
      </c>
      <c r="H95" s="1051">
        <f t="shared" si="32"/>
        <v>67.97777777775241</v>
      </c>
      <c r="I95" s="1051">
        <f t="shared" si="32"/>
        <v>72.06666666674516</v>
      </c>
      <c r="J95" s="1051">
        <f t="shared" si="32"/>
        <v>74.62222222224878</v>
      </c>
      <c r="K95" s="1052">
        <f t="shared" si="32"/>
        <v>62.86666666673947</v>
      </c>
      <c r="L95" s="1052">
        <f t="shared" si="32"/>
        <v>66.95555555550523</v>
      </c>
      <c r="M95" s="1052">
        <f t="shared" si="32"/>
        <v>69.51111111101794</v>
      </c>
      <c r="N95" s="1053">
        <f t="shared" si="32"/>
        <v>46.0</v>
      </c>
      <c r="O95" s="1053">
        <f t="shared" si="32"/>
        <v>50.088888888971155</v>
      </c>
      <c r="P95" s="1053">
        <f t="shared" si="32"/>
        <v>52.64444444448738</v>
      </c>
      <c r="Q95" s="1054">
        <f t="shared" si="32"/>
        <v>43.44444444447998</v>
      </c>
      <c r="R95" s="1054">
        <f t="shared" si="32"/>
        <v>47.53333333327463</v>
      </c>
      <c r="S95" s="1054">
        <f t="shared" si="32"/>
        <v>50.088888888971155</v>
      </c>
      <c r="T95" s="1055">
        <f t="shared" si="32"/>
        <v>40.88888888895476</v>
      </c>
      <c r="U95" s="1055">
        <f t="shared" si="33"/>
        <v>44.977777777759314</v>
      </c>
      <c r="V95" s="1055">
        <f t="shared" si="34"/>
        <v>47.53333333327463</v>
      </c>
      <c r="W95" s="1056">
        <f t="shared" si="18"/>
        <v>38.333333333288735</v>
      </c>
      <c r="X95" s="1056">
        <f t="shared" si="18"/>
        <v>42.42222222223949</v>
      </c>
      <c r="Y95" s="1056">
        <f t="shared" si="18"/>
        <v>44.977777777759314</v>
      </c>
      <c r="Z95" s="1057">
        <f t="shared" si="18"/>
        <v>35.77777777776461</v>
      </c>
      <c r="AA95" s="1057">
        <f t="shared" si="18"/>
        <v>39.86666666671427</v>
      </c>
      <c r="AB95" s="1057">
        <f t="shared" si="18"/>
        <v>42.42222222223949</v>
      </c>
      <c r="AC95" s="1058">
        <f t="shared" si="18"/>
        <v>33.22222222223348</v>
      </c>
      <c r="AD95" s="1058">
        <f t="shared" si="18"/>
        <v>37.31111111106034</v>
      </c>
      <c r="AE95" s="1058">
        <f t="shared" si="18"/>
        <v>39.86666666671427</v>
      </c>
      <c r="AF95" s="1059">
        <f t="shared" si="18"/>
        <v>30.66666666669357</v>
      </c>
      <c r="AG95" s="1059">
        <f t="shared" si="18"/>
        <v>34.75555555553062</v>
      </c>
      <c r="AH95" s="1059">
        <f t="shared" si="9"/>
        <v>37.31111111106034</v>
      </c>
      <c r="AI95" s="1060">
        <f t="shared" si="9"/>
        <v>28.111111111091944</v>
      </c>
      <c r="AJ95" s="1060">
        <f t="shared" si="9"/>
        <v>32.199999999999996</v>
      </c>
      <c r="AK95" s="1060">
        <f t="shared" si="9"/>
        <v>34.75555555553062</v>
      </c>
    </row>
    <row r="96" spans="8:8" ht="15.75" customHeight="1">
      <c r="D96" s="1049">
        <f t="shared" si="17"/>
        <v>0.2583333333333468</v>
      </c>
      <c r="E96" s="1050">
        <f t="shared" si="15"/>
        <v>73.88333333333718</v>
      </c>
      <c r="F96" s="1050">
        <f t="shared" si="16"/>
        <v>78.01666666667073</v>
      </c>
      <c r="G96" s="1050">
        <f t="shared" si="16"/>
        <v>80.6000000000042</v>
      </c>
      <c r="H96" s="1051">
        <f t="shared" si="32"/>
        <v>68.7166666666413</v>
      </c>
      <c r="I96" s="1051">
        <f t="shared" si="32"/>
        <v>72.85000000007847</v>
      </c>
      <c r="J96" s="1051">
        <f t="shared" si="32"/>
        <v>75.43333333335988</v>
      </c>
      <c r="K96" s="1052">
        <f t="shared" si="32"/>
        <v>63.550000000072764</v>
      </c>
      <c r="L96" s="1052">
        <f t="shared" si="32"/>
        <v>67.68333333328303</v>
      </c>
      <c r="M96" s="1052">
        <f t="shared" si="32"/>
        <v>70.26666666657354</v>
      </c>
      <c r="N96" s="1053">
        <f t="shared" si="32"/>
        <v>46.5</v>
      </c>
      <c r="O96" s="1053">
        <f t="shared" si="32"/>
        <v>50.63333333341556</v>
      </c>
      <c r="P96" s="1053">
        <f t="shared" si="32"/>
        <v>53.21666666670958</v>
      </c>
      <c r="Q96" s="1054">
        <f t="shared" si="32"/>
        <v>43.91666666670218</v>
      </c>
      <c r="R96" s="1054">
        <f t="shared" si="32"/>
        <v>48.049999999941335</v>
      </c>
      <c r="S96" s="1054">
        <f t="shared" si="32"/>
        <v>50.63333333341556</v>
      </c>
      <c r="T96" s="1055">
        <f t="shared" si="32"/>
        <v>41.33333333339916</v>
      </c>
      <c r="U96" s="1055">
        <f t="shared" si="33"/>
        <v>45.466666666648216</v>
      </c>
      <c r="V96" s="1055">
        <f t="shared" si="34"/>
        <v>48.049999999941335</v>
      </c>
      <c r="W96" s="1056">
        <f t="shared" si="18"/>
        <v>38.749999999955435</v>
      </c>
      <c r="X96" s="1056">
        <f t="shared" si="18"/>
        <v>42.88333333335059</v>
      </c>
      <c r="Y96" s="1056">
        <f t="shared" si="18"/>
        <v>45.466666666648216</v>
      </c>
      <c r="Z96" s="1057">
        <f t="shared" si="18"/>
        <v>36.16666666665351</v>
      </c>
      <c r="AA96" s="1057">
        <f t="shared" si="18"/>
        <v>40.30000000004757</v>
      </c>
      <c r="AB96" s="1057">
        <f t="shared" si="18"/>
        <v>42.88333333335059</v>
      </c>
      <c r="AC96" s="1058">
        <f t="shared" si="18"/>
        <v>33.583333333344584</v>
      </c>
      <c r="AD96" s="1058">
        <f t="shared" si="18"/>
        <v>37.71666666661594</v>
      </c>
      <c r="AE96" s="1058">
        <f t="shared" si="18"/>
        <v>40.30000000004757</v>
      </c>
      <c r="AF96" s="1059">
        <f t="shared" si="18"/>
        <v>31.00000000002687</v>
      </c>
      <c r="AG96" s="1059">
        <f t="shared" si="18"/>
        <v>35.13333333330842</v>
      </c>
      <c r="AH96" s="1059">
        <f t="shared" si="9"/>
        <v>37.71666666661594</v>
      </c>
      <c r="AI96" s="1060">
        <f t="shared" si="9"/>
        <v>28.416666666647544</v>
      </c>
      <c r="AJ96" s="1060">
        <f t="shared" si="9"/>
        <v>32.55</v>
      </c>
      <c r="AK96" s="1060">
        <f t="shared" si="9"/>
        <v>35.13333333330842</v>
      </c>
    </row>
    <row r="97" spans="8:8" ht="15.75" customHeight="1">
      <c r="D97" s="1049">
        <f t="shared" si="17"/>
        <v>0.2611111111111248</v>
      </c>
      <c r="E97" s="1050">
        <f t="shared" si="15"/>
        <v>74.67777777778169</v>
      </c>
      <c r="F97" s="1050">
        <f t="shared" si="16"/>
        <v>78.85555555555969</v>
      </c>
      <c r="G97" s="1050">
        <f t="shared" si="16"/>
        <v>81.46666666667093</v>
      </c>
      <c r="H97" s="1051">
        <f t="shared" si="32"/>
        <v>69.45555555553021</v>
      </c>
      <c r="I97" s="1051">
        <f t="shared" si="32"/>
        <v>73.63333333341177</v>
      </c>
      <c r="J97" s="1051">
        <f t="shared" si="32"/>
        <v>76.24444444447099</v>
      </c>
      <c r="K97" s="1052">
        <f t="shared" si="32"/>
        <v>64.23333333340607</v>
      </c>
      <c r="L97" s="1052">
        <f t="shared" si="32"/>
        <v>68.41111111106082</v>
      </c>
      <c r="M97" s="1052">
        <f t="shared" si="32"/>
        <v>71.02222222212914</v>
      </c>
      <c r="N97" s="1053">
        <f t="shared" si="32"/>
        <v>47.0</v>
      </c>
      <c r="O97" s="1053">
        <f t="shared" si="32"/>
        <v>51.17777777785996</v>
      </c>
      <c r="P97" s="1053">
        <f t="shared" si="32"/>
        <v>53.78888888893178</v>
      </c>
      <c r="Q97" s="1054">
        <f t="shared" si="32"/>
        <v>44.38888888892438</v>
      </c>
      <c r="R97" s="1054">
        <f t="shared" si="32"/>
        <v>48.566666666608036</v>
      </c>
      <c r="S97" s="1054">
        <f t="shared" si="32"/>
        <v>51.17777777785996</v>
      </c>
      <c r="T97" s="1055">
        <f t="shared" si="32"/>
        <v>41.77777777784356</v>
      </c>
      <c r="U97" s="1055">
        <f t="shared" si="33"/>
        <v>45.95555555553711</v>
      </c>
      <c r="V97" s="1055">
        <f t="shared" si="34"/>
        <v>48.566666666608036</v>
      </c>
      <c r="W97" s="1056">
        <f t="shared" si="18"/>
        <v>39.166666666622135</v>
      </c>
      <c r="X97" s="1056">
        <f t="shared" si="18"/>
        <v>43.34444444446169</v>
      </c>
      <c r="Y97" s="1056">
        <f t="shared" si="18"/>
        <v>45.95555555553711</v>
      </c>
      <c r="Z97" s="1057">
        <f t="shared" si="18"/>
        <v>36.55555555554241</v>
      </c>
      <c r="AA97" s="1057">
        <f t="shared" si="18"/>
        <v>40.73333333338087</v>
      </c>
      <c r="AB97" s="1057">
        <f t="shared" si="18"/>
        <v>43.34444444446169</v>
      </c>
      <c r="AC97" s="1058">
        <f t="shared" si="18"/>
        <v>33.944444444455684</v>
      </c>
      <c r="AD97" s="1058">
        <f t="shared" si="18"/>
        <v>38.122222222171544</v>
      </c>
      <c r="AE97" s="1058">
        <f t="shared" si="18"/>
        <v>40.73333333338087</v>
      </c>
      <c r="AF97" s="1059">
        <f t="shared" si="18"/>
        <v>31.33333333336017</v>
      </c>
      <c r="AG97" s="1059">
        <f t="shared" si="18"/>
        <v>35.51111111108622</v>
      </c>
      <c r="AH97" s="1059">
        <f t="shared" si="9"/>
        <v>38.122222222171544</v>
      </c>
      <c r="AI97" s="1060">
        <f t="shared" si="9"/>
        <v>28.722222222203143</v>
      </c>
      <c r="AJ97" s="1060">
        <f t="shared" si="9"/>
        <v>32.9</v>
      </c>
      <c r="AK97" s="1060">
        <f t="shared" si="9"/>
        <v>35.51111111108622</v>
      </c>
    </row>
    <row r="98" spans="8:8" ht="15.75" customHeight="1">
      <c r="D98" s="1049">
        <f t="shared" si="17"/>
        <v>0.2638888888889028</v>
      </c>
      <c r="E98" s="1050">
        <f t="shared" si="15"/>
        <v>75.4722222222262</v>
      </c>
      <c r="F98" s="1050">
        <f t="shared" si="16"/>
        <v>79.69444444444864</v>
      </c>
      <c r="G98" s="1050">
        <f t="shared" si="16"/>
        <v>82.33333333333766</v>
      </c>
      <c r="H98" s="1051">
        <f t="shared" si="32"/>
        <v>70.1944444444191</v>
      </c>
      <c r="I98" s="1051">
        <f t="shared" si="32"/>
        <v>74.41666666674507</v>
      </c>
      <c r="J98" s="1051">
        <f t="shared" si="32"/>
        <v>77.05555555558209</v>
      </c>
      <c r="K98" s="1052">
        <f t="shared" si="32"/>
        <v>64.91666666673936</v>
      </c>
      <c r="L98" s="1052">
        <f t="shared" si="32"/>
        <v>69.13888888883862</v>
      </c>
      <c r="M98" s="1052">
        <f t="shared" si="32"/>
        <v>71.77777777768473</v>
      </c>
      <c r="N98" s="1053">
        <f t="shared" si="32"/>
        <v>47.5</v>
      </c>
      <c r="O98" s="1053">
        <f t="shared" si="32"/>
        <v>51.72222222230435</v>
      </c>
      <c r="P98" s="1053">
        <f t="shared" si="32"/>
        <v>54.361111111153974</v>
      </c>
      <c r="Q98" s="1054">
        <f t="shared" si="32"/>
        <v>44.86111111114658</v>
      </c>
      <c r="R98" s="1054">
        <f t="shared" si="32"/>
        <v>49.08333333327474</v>
      </c>
      <c r="S98" s="1054">
        <f t="shared" si="32"/>
        <v>51.72222222230435</v>
      </c>
      <c r="T98" s="1055">
        <f t="shared" si="32"/>
        <v>42.222222222287954</v>
      </c>
      <c r="U98" s="1055">
        <f t="shared" si="33"/>
        <v>46.44444444442601</v>
      </c>
      <c r="V98" s="1055">
        <f t="shared" si="34"/>
        <v>49.08333333327474</v>
      </c>
      <c r="W98" s="1056">
        <f t="shared" si="18"/>
        <v>39.583333333288834</v>
      </c>
      <c r="X98" s="1056">
        <f t="shared" si="18"/>
        <v>43.805555555572795</v>
      </c>
      <c r="Y98" s="1056">
        <f t="shared" si="18"/>
        <v>46.44444444442601</v>
      </c>
      <c r="Z98" s="1057">
        <f t="shared" si="18"/>
        <v>36.94444444443131</v>
      </c>
      <c r="AA98" s="1057">
        <f t="shared" si="18"/>
        <v>41.16666666671417</v>
      </c>
      <c r="AB98" s="1057">
        <f t="shared" si="18"/>
        <v>43.805555555572795</v>
      </c>
      <c r="AC98" s="1058">
        <f t="shared" si="18"/>
        <v>34.305555555566784</v>
      </c>
      <c r="AD98" s="1058">
        <f t="shared" si="18"/>
        <v>38.52777777772714</v>
      </c>
      <c r="AE98" s="1058">
        <f t="shared" si="18"/>
        <v>41.16666666671417</v>
      </c>
      <c r="AF98" s="1059">
        <f t="shared" si="18"/>
        <v>31.66666666669347</v>
      </c>
      <c r="AG98" s="1059">
        <f t="shared" si="18"/>
        <v>35.88888888886402</v>
      </c>
      <c r="AH98" s="1059">
        <f t="shared" si="9"/>
        <v>38.52777777772714</v>
      </c>
      <c r="AI98" s="1060">
        <f t="shared" si="9"/>
        <v>29.027777777758743</v>
      </c>
      <c r="AJ98" s="1060">
        <f t="shared" si="9"/>
        <v>33.25</v>
      </c>
      <c r="AK98" s="1060">
        <f t="shared" si="9"/>
        <v>35.88888888886402</v>
      </c>
    </row>
    <row r="99" spans="8:8" ht="15.75" customHeight="1">
      <c r="D99" s="1049">
        <f t="shared" si="17"/>
        <v>0.26666666666668076</v>
      </c>
      <c r="E99" s="1050">
        <f t="shared" si="15"/>
        <v>76.2666666666707</v>
      </c>
      <c r="F99" s="1050">
        <f t="shared" si="16"/>
        <v>80.5333333333376</v>
      </c>
      <c r="G99" s="1050">
        <f t="shared" si="16"/>
        <v>83.2000000000044</v>
      </c>
      <c r="H99" s="1051">
        <f t="shared" si="32"/>
        <v>70.933333333308</v>
      </c>
      <c r="I99" s="1051">
        <f t="shared" si="32"/>
        <v>75.20000000007836</v>
      </c>
      <c r="J99" s="1051">
        <f t="shared" si="32"/>
        <v>77.86666666669318</v>
      </c>
      <c r="K99" s="1052">
        <f t="shared" si="32"/>
        <v>65.60000000007267</v>
      </c>
      <c r="L99" s="1052">
        <f t="shared" si="32"/>
        <v>69.86666666661642</v>
      </c>
      <c r="M99" s="1052">
        <f t="shared" si="32"/>
        <v>72.53333333324034</v>
      </c>
      <c r="N99" s="1053">
        <f t="shared" si="32"/>
        <v>48.0</v>
      </c>
      <c r="O99" s="1053">
        <f t="shared" si="32"/>
        <v>52.266666666748755</v>
      </c>
      <c r="P99" s="1053">
        <f t="shared" si="32"/>
        <v>54.933333333376176</v>
      </c>
      <c r="Q99" s="1054">
        <f t="shared" si="32"/>
        <v>45.33333333336878</v>
      </c>
      <c r="R99" s="1054">
        <f t="shared" si="32"/>
        <v>49.59999999994143</v>
      </c>
      <c r="S99" s="1054">
        <f t="shared" si="32"/>
        <v>52.266666666748755</v>
      </c>
      <c r="T99" s="1055">
        <f t="shared" si="32"/>
        <v>42.666666666732354</v>
      </c>
      <c r="U99" s="1055">
        <f t="shared" si="33"/>
        <v>46.93333333331491</v>
      </c>
      <c r="V99" s="1055">
        <f t="shared" si="34"/>
        <v>49.59999999994143</v>
      </c>
      <c r="W99" s="1056">
        <f t="shared" si="18"/>
        <v>39.999999999955534</v>
      </c>
      <c r="X99" s="1056">
        <f t="shared" si="18"/>
        <v>44.26666666668389</v>
      </c>
      <c r="Y99" s="1056">
        <f t="shared" si="18"/>
        <v>46.93333333331491</v>
      </c>
      <c r="Z99" s="1057">
        <f t="shared" si="18"/>
        <v>37.33333333332021</v>
      </c>
      <c r="AA99" s="1057">
        <f t="shared" si="18"/>
        <v>41.60000000004747</v>
      </c>
      <c r="AB99" s="1057">
        <f t="shared" si="18"/>
        <v>44.26666666668389</v>
      </c>
      <c r="AC99" s="1058">
        <f t="shared" si="18"/>
        <v>34.666666666677884</v>
      </c>
      <c r="AD99" s="1058">
        <f t="shared" si="18"/>
        <v>38.93333333328274</v>
      </c>
      <c r="AE99" s="1058">
        <f t="shared" si="35" ref="AE99:AK138">AE100-(AE$363/360)</f>
        <v>41.60000000004747</v>
      </c>
      <c r="AF99" s="1059">
        <f t="shared" si="35"/>
        <v>32.000000000026766</v>
      </c>
      <c r="AG99" s="1059">
        <f t="shared" si="35"/>
        <v>36.26666666664182</v>
      </c>
      <c r="AH99" s="1059">
        <f t="shared" si="9"/>
        <v>38.93333333328274</v>
      </c>
      <c r="AI99" s="1060">
        <f t="shared" si="9"/>
        <v>29.333333333314343</v>
      </c>
      <c r="AJ99" s="1060">
        <f t="shared" si="9"/>
        <v>33.6</v>
      </c>
      <c r="AK99" s="1060">
        <f t="shared" si="9"/>
        <v>36.26666666664182</v>
      </c>
    </row>
    <row r="100" spans="8:8" ht="15.75" customHeight="1">
      <c r="D100" s="1049">
        <f t="shared" si="17"/>
        <v>0.26944444444445875</v>
      </c>
      <c r="E100" s="1050">
        <f t="shared" si="15"/>
        <v>77.06111111111521</v>
      </c>
      <c r="F100" s="1050">
        <f t="shared" si="16"/>
        <v>81.37222222222654</v>
      </c>
      <c r="G100" s="1050">
        <f t="shared" si="16"/>
        <v>84.06666666667113</v>
      </c>
      <c r="H100" s="1051">
        <f t="shared" si="36" ref="H100:T115">H101-(H$363/360)</f>
        <v>71.67222222219691</v>
      </c>
      <c r="I100" s="1051">
        <f t="shared" si="36"/>
        <v>75.98333333341166</v>
      </c>
      <c r="J100" s="1051">
        <f t="shared" si="36"/>
        <v>78.67777777780428</v>
      </c>
      <c r="K100" s="1052">
        <f t="shared" si="36"/>
        <v>66.28333333340596</v>
      </c>
      <c r="L100" s="1052">
        <f t="shared" si="36"/>
        <v>70.59444444439423</v>
      </c>
      <c r="M100" s="1052">
        <f t="shared" si="36"/>
        <v>73.28888888879594</v>
      </c>
      <c r="N100" s="1053">
        <f t="shared" si="36"/>
        <v>48.5</v>
      </c>
      <c r="O100" s="1053">
        <f t="shared" si="36"/>
        <v>52.811111111193156</v>
      </c>
      <c r="P100" s="1053">
        <f t="shared" si="36"/>
        <v>55.50555555559838</v>
      </c>
      <c r="Q100" s="1054">
        <f t="shared" si="36"/>
        <v>45.80555555559098</v>
      </c>
      <c r="R100" s="1054">
        <f t="shared" si="36"/>
        <v>50.11666666660813</v>
      </c>
      <c r="S100" s="1054">
        <f t="shared" si="36"/>
        <v>52.811111111193156</v>
      </c>
      <c r="T100" s="1055">
        <f t="shared" si="36"/>
        <v>43.111111111176754</v>
      </c>
      <c r="U100" s="1055">
        <f t="shared" si="33"/>
        <v>47.422222222203814</v>
      </c>
      <c r="V100" s="1055">
        <f t="shared" si="34"/>
        <v>50.11666666660813</v>
      </c>
      <c r="W100" s="1056">
        <f t="shared" si="37" ref="W100:AD106">W101-(W$363/360)</f>
        <v>40.416666666622234</v>
      </c>
      <c r="X100" s="1056">
        <f t="shared" si="37"/>
        <v>44.72777777779499</v>
      </c>
      <c r="Y100" s="1056">
        <f t="shared" si="37"/>
        <v>47.422222222203814</v>
      </c>
      <c r="Z100" s="1057">
        <f t="shared" si="37"/>
        <v>37.72222222220911</v>
      </c>
      <c r="AA100" s="1057">
        <f t="shared" si="37"/>
        <v>42.03333333338077</v>
      </c>
      <c r="AB100" s="1057">
        <f t="shared" si="37"/>
        <v>44.72777777779499</v>
      </c>
      <c r="AC100" s="1058">
        <f t="shared" si="37"/>
        <v>35.027777777788984</v>
      </c>
      <c r="AD100" s="1058">
        <f t="shared" si="37"/>
        <v>39.33888888883834</v>
      </c>
      <c r="AE100" s="1058">
        <f t="shared" si="35"/>
        <v>42.03333333338077</v>
      </c>
      <c r="AF100" s="1059">
        <f t="shared" si="35"/>
        <v>32.333333333360066</v>
      </c>
      <c r="AG100" s="1059">
        <f t="shared" si="35"/>
        <v>36.64444444441962</v>
      </c>
      <c r="AH100" s="1059">
        <f t="shared" si="9"/>
        <v>39.33888888883834</v>
      </c>
      <c r="AI100" s="1060">
        <f t="shared" si="9"/>
        <v>29.638888888869943</v>
      </c>
      <c r="AJ100" s="1060">
        <f t="shared" si="9"/>
        <v>33.949999999999996</v>
      </c>
      <c r="AK100" s="1060">
        <f t="shared" si="9"/>
        <v>36.64444444441962</v>
      </c>
    </row>
    <row r="101" spans="8:8" ht="15.75" customHeight="1">
      <c r="D101" s="1049">
        <f t="shared" si="17"/>
        <v>0.27222222222223674</v>
      </c>
      <c r="E101" s="1050">
        <f t="shared" si="15"/>
        <v>77.8555555555597</v>
      </c>
      <c r="F101" s="1050">
        <f t="shared" si="16"/>
        <v>82.2111111111155</v>
      </c>
      <c r="G101" s="1050">
        <f t="shared" si="16"/>
        <v>84.93333333333787</v>
      </c>
      <c r="H101" s="1051">
        <f t="shared" si="36"/>
        <v>72.4111111110858</v>
      </c>
      <c r="I101" s="1051">
        <f t="shared" si="36"/>
        <v>76.76666666674497</v>
      </c>
      <c r="J101" s="1051">
        <f t="shared" si="36"/>
        <v>79.48888888891538</v>
      </c>
      <c r="K101" s="1052">
        <f t="shared" si="36"/>
        <v>66.96666666673926</v>
      </c>
      <c r="L101" s="1052">
        <f t="shared" si="36"/>
        <v>71.32222222217203</v>
      </c>
      <c r="M101" s="1052">
        <f t="shared" si="36"/>
        <v>74.04444444435154</v>
      </c>
      <c r="N101" s="1053">
        <f t="shared" si="36"/>
        <v>49.0</v>
      </c>
      <c r="O101" s="1053">
        <f t="shared" si="36"/>
        <v>53.35555555563756</v>
      </c>
      <c r="P101" s="1053">
        <f t="shared" si="36"/>
        <v>56.07777777782058</v>
      </c>
      <c r="Q101" s="1054">
        <f t="shared" si="36"/>
        <v>46.27777777781318</v>
      </c>
      <c r="R101" s="1054">
        <f t="shared" si="36"/>
        <v>50.633333333274834</v>
      </c>
      <c r="S101" s="1054">
        <f t="shared" si="36"/>
        <v>53.35555555563756</v>
      </c>
      <c r="T101" s="1055">
        <f t="shared" si="36"/>
        <v>43.555555555621154</v>
      </c>
      <c r="U101" s="1055">
        <f t="shared" si="33"/>
        <v>47.911111111092715</v>
      </c>
      <c r="V101" s="1055">
        <f t="shared" si="34"/>
        <v>50.633333333274834</v>
      </c>
      <c r="W101" s="1056">
        <f t="shared" si="37"/>
        <v>40.833333333288934</v>
      </c>
      <c r="X101" s="1056">
        <f t="shared" si="37"/>
        <v>45.18888888890609</v>
      </c>
      <c r="Y101" s="1056">
        <f t="shared" si="37"/>
        <v>47.911111111092715</v>
      </c>
      <c r="Z101" s="1057">
        <f t="shared" si="37"/>
        <v>38.11111111109801</v>
      </c>
      <c r="AA101" s="1057">
        <f t="shared" si="37"/>
        <v>42.46666666671407</v>
      </c>
      <c r="AB101" s="1057">
        <f t="shared" si="37"/>
        <v>45.18888888890609</v>
      </c>
      <c r="AC101" s="1058">
        <f t="shared" si="37"/>
        <v>35.388888888900084</v>
      </c>
      <c r="AD101" s="1058">
        <f t="shared" si="37"/>
        <v>39.74444444439394</v>
      </c>
      <c r="AE101" s="1058">
        <f t="shared" si="35"/>
        <v>42.46666666671407</v>
      </c>
      <c r="AF101" s="1059">
        <f t="shared" si="35"/>
        <v>32.66666666669337</v>
      </c>
      <c r="AG101" s="1059">
        <f t="shared" si="35"/>
        <v>37.02222222219742</v>
      </c>
      <c r="AH101" s="1059">
        <f t="shared" si="9"/>
        <v>39.74444444439394</v>
      </c>
      <c r="AI101" s="1060">
        <f t="shared" si="9"/>
        <v>29.944444444425542</v>
      </c>
      <c r="AJ101" s="1060">
        <f t="shared" si="9"/>
        <v>34.3</v>
      </c>
      <c r="AK101" s="1060">
        <f t="shared" si="9"/>
        <v>37.02222222219742</v>
      </c>
    </row>
    <row r="102" spans="8:8" ht="15.75" customHeight="1">
      <c r="D102" s="1049">
        <f t="shared" si="17"/>
        <v>0.2750000000000148</v>
      </c>
      <c r="E102" s="1050">
        <f t="shared" si="15"/>
        <v>78.65000000000423</v>
      </c>
      <c r="F102" s="1050">
        <f t="shared" si="16"/>
        <v>83.05000000000446</v>
      </c>
      <c r="G102" s="1050">
        <f t="shared" si="16"/>
        <v>85.80000000000462</v>
      </c>
      <c r="H102" s="1051">
        <f t="shared" si="36"/>
        <v>73.14999999997471</v>
      </c>
      <c r="I102" s="1051">
        <f t="shared" si="36"/>
        <v>77.55000000007827</v>
      </c>
      <c r="J102" s="1051">
        <f t="shared" si="36"/>
        <v>80.30000000002649</v>
      </c>
      <c r="K102" s="1052">
        <f t="shared" si="36"/>
        <v>67.65000000007257</v>
      </c>
      <c r="L102" s="1052">
        <f t="shared" si="36"/>
        <v>72.04999999994982</v>
      </c>
      <c r="M102" s="1052">
        <f t="shared" si="36"/>
        <v>74.79999999990714</v>
      </c>
      <c r="N102" s="1053">
        <f t="shared" si="36"/>
        <v>49.5</v>
      </c>
      <c r="O102" s="1053">
        <f t="shared" si="36"/>
        <v>53.90000000008195</v>
      </c>
      <c r="P102" s="1053">
        <f t="shared" si="36"/>
        <v>56.65000000004278</v>
      </c>
      <c r="Q102" s="1054">
        <f t="shared" si="36"/>
        <v>46.75000000003538</v>
      </c>
      <c r="R102" s="1054">
        <f t="shared" si="36"/>
        <v>51.149999999941535</v>
      </c>
      <c r="S102" s="1054">
        <f t="shared" si="36"/>
        <v>53.90000000008195</v>
      </c>
      <c r="T102" s="1055">
        <f t="shared" si="36"/>
        <v>44.000000000065555</v>
      </c>
      <c r="U102" s="1055">
        <f t="shared" si="33"/>
        <v>48.39999999998161</v>
      </c>
      <c r="V102" s="1055">
        <f t="shared" si="34"/>
        <v>51.149999999941535</v>
      </c>
      <c r="W102" s="1056">
        <f t="shared" si="37"/>
        <v>41.249999999955634</v>
      </c>
      <c r="X102" s="1056">
        <f t="shared" si="37"/>
        <v>45.650000000017194</v>
      </c>
      <c r="Y102" s="1056">
        <f t="shared" si="37"/>
        <v>48.39999999998161</v>
      </c>
      <c r="Z102" s="1057">
        <f t="shared" si="37"/>
        <v>38.49999999998691</v>
      </c>
      <c r="AA102" s="1057">
        <f t="shared" si="37"/>
        <v>42.90000000004737</v>
      </c>
      <c r="AB102" s="1057">
        <f t="shared" si="37"/>
        <v>45.650000000017194</v>
      </c>
      <c r="AC102" s="1058">
        <f t="shared" si="37"/>
        <v>35.750000000011184</v>
      </c>
      <c r="AD102" s="1058">
        <f t="shared" si="37"/>
        <v>40.14999999994954</v>
      </c>
      <c r="AE102" s="1058">
        <f t="shared" si="35"/>
        <v>42.90000000004737</v>
      </c>
      <c r="AF102" s="1059">
        <f t="shared" si="35"/>
        <v>33.00000000002667</v>
      </c>
      <c r="AG102" s="1059">
        <f t="shared" si="35"/>
        <v>37.39999999997522</v>
      </c>
      <c r="AH102" s="1059">
        <f t="shared" si="9"/>
        <v>40.14999999994954</v>
      </c>
      <c r="AI102" s="1060">
        <f t="shared" si="9"/>
        <v>30.249999999981142</v>
      </c>
      <c r="AJ102" s="1060">
        <f t="shared" si="9"/>
        <v>34.65</v>
      </c>
      <c r="AK102" s="1060">
        <f t="shared" si="9"/>
        <v>37.39999999997522</v>
      </c>
    </row>
    <row r="103" spans="8:8" ht="15.75" customHeight="1">
      <c r="D103" s="1049">
        <f t="shared" si="17"/>
        <v>0.2777777777777928</v>
      </c>
      <c r="E103" s="1050">
        <f t="shared" si="15"/>
        <v>79.44444444444873</v>
      </c>
      <c r="F103" s="1050">
        <f t="shared" si="16"/>
        <v>83.88888888889342</v>
      </c>
      <c r="G103" s="1050">
        <f t="shared" si="16"/>
        <v>86.66666666667135</v>
      </c>
      <c r="H103" s="1051">
        <f t="shared" si="36"/>
        <v>73.8888888888636</v>
      </c>
      <c r="I103" s="1051">
        <f t="shared" si="36"/>
        <v>78.33333333341157</v>
      </c>
      <c r="J103" s="1051">
        <f t="shared" si="36"/>
        <v>81.11111111113759</v>
      </c>
      <c r="K103" s="1052">
        <f t="shared" si="36"/>
        <v>68.33333333340586</v>
      </c>
      <c r="L103" s="1052">
        <f t="shared" si="36"/>
        <v>72.77777777772762</v>
      </c>
      <c r="M103" s="1052">
        <f t="shared" si="36"/>
        <v>75.55555555546265</v>
      </c>
      <c r="N103" s="1053">
        <f t="shared" si="36"/>
        <v>50.0</v>
      </c>
      <c r="O103" s="1053">
        <f t="shared" si="36"/>
        <v>54.444444444526354</v>
      </c>
      <c r="P103" s="1053">
        <f t="shared" si="36"/>
        <v>57.222222222264975</v>
      </c>
      <c r="Q103" s="1054">
        <f t="shared" si="36"/>
        <v>47.22222222225758</v>
      </c>
      <c r="R103" s="1054">
        <f t="shared" si="36"/>
        <v>51.666666666608236</v>
      </c>
      <c r="S103" s="1054">
        <f t="shared" si="36"/>
        <v>54.444444444526354</v>
      </c>
      <c r="T103" s="1055">
        <f t="shared" si="36"/>
        <v>44.444444444509955</v>
      </c>
      <c r="U103" s="1055">
        <f t="shared" si="33"/>
        <v>48.88888888887051</v>
      </c>
      <c r="V103" s="1055">
        <f t="shared" si="34"/>
        <v>51.666666666608236</v>
      </c>
      <c r="W103" s="1056">
        <f t="shared" si="37"/>
        <v>41.66666666662233</v>
      </c>
      <c r="X103" s="1056">
        <f t="shared" si="37"/>
        <v>46.11111111112829</v>
      </c>
      <c r="Y103" s="1056">
        <f t="shared" si="37"/>
        <v>48.88888888887051</v>
      </c>
      <c r="Z103" s="1057">
        <f t="shared" si="37"/>
        <v>38.88888888887581</v>
      </c>
      <c r="AA103" s="1057">
        <f t="shared" si="37"/>
        <v>43.33333333338067</v>
      </c>
      <c r="AB103" s="1057">
        <f t="shared" si="37"/>
        <v>46.11111111112829</v>
      </c>
      <c r="AC103" s="1058">
        <f t="shared" si="37"/>
        <v>36.111111111122284</v>
      </c>
      <c r="AD103" s="1058">
        <f t="shared" si="37"/>
        <v>40.555555555505144</v>
      </c>
      <c r="AE103" s="1058">
        <f t="shared" si="35"/>
        <v>43.33333333338067</v>
      </c>
      <c r="AF103" s="1059">
        <f t="shared" si="35"/>
        <v>33.33333333335997</v>
      </c>
      <c r="AG103" s="1059">
        <f t="shared" si="35"/>
        <v>37.77777777775302</v>
      </c>
      <c r="AH103" s="1059">
        <f t="shared" si="9"/>
        <v>40.555555555505144</v>
      </c>
      <c r="AI103" s="1060">
        <f t="shared" si="9"/>
        <v>30.555555555536742</v>
      </c>
      <c r="AJ103" s="1060">
        <f t="shared" si="9"/>
        <v>35.0</v>
      </c>
      <c r="AK103" s="1060">
        <f t="shared" si="9"/>
        <v>37.77777777775302</v>
      </c>
    </row>
    <row r="104" spans="8:8" ht="15.75" customHeight="1">
      <c r="D104" s="1049">
        <f t="shared" si="17"/>
        <v>0.28055555555557077</v>
      </c>
      <c r="E104" s="1050">
        <f t="shared" si="15"/>
        <v>80.23888888889324</v>
      </c>
      <c r="F104" s="1050">
        <f t="shared" si="16"/>
        <v>84.72777777778238</v>
      </c>
      <c r="G104" s="1050">
        <f t="shared" si="16"/>
        <v>87.53333333333808</v>
      </c>
      <c r="H104" s="1051">
        <f t="shared" si="36"/>
        <v>74.6277777777525</v>
      </c>
      <c r="I104" s="1051">
        <f t="shared" si="36"/>
        <v>79.11666666674486</v>
      </c>
      <c r="J104" s="1051">
        <f t="shared" si="36"/>
        <v>81.92222222224868</v>
      </c>
      <c r="K104" s="1052">
        <f t="shared" si="36"/>
        <v>69.01666666673917</v>
      </c>
      <c r="L104" s="1052">
        <f t="shared" si="36"/>
        <v>73.50555555550542</v>
      </c>
      <c r="M104" s="1052">
        <f t="shared" si="36"/>
        <v>76.31111111101823</v>
      </c>
      <c r="N104" s="1053">
        <f t="shared" si="36"/>
        <v>50.5</v>
      </c>
      <c r="O104" s="1053">
        <f t="shared" si="36"/>
        <v>54.988888888970756</v>
      </c>
      <c r="P104" s="1053">
        <f t="shared" si="36"/>
        <v>57.794444444487176</v>
      </c>
      <c r="Q104" s="1054">
        <f t="shared" si="36"/>
        <v>47.69444444447978</v>
      </c>
      <c r="R104" s="1054">
        <f t="shared" si="36"/>
        <v>52.18333333327494</v>
      </c>
      <c r="S104" s="1054">
        <f t="shared" si="36"/>
        <v>54.988888888970756</v>
      </c>
      <c r="T104" s="1055">
        <f t="shared" si="36"/>
        <v>44.888888888954355</v>
      </c>
      <c r="U104" s="1055">
        <f t="shared" si="33"/>
        <v>49.37777777775941</v>
      </c>
      <c r="V104" s="1055">
        <f t="shared" si="34"/>
        <v>52.18333333327494</v>
      </c>
      <c r="W104" s="1056">
        <f t="shared" si="37"/>
        <v>42.08333333328903</v>
      </c>
      <c r="X104" s="1056">
        <f t="shared" si="37"/>
        <v>46.57222222223939</v>
      </c>
      <c r="Y104" s="1056">
        <f t="shared" si="37"/>
        <v>49.37777777775941</v>
      </c>
      <c r="Z104" s="1057">
        <f t="shared" si="37"/>
        <v>39.27777777776471</v>
      </c>
      <c r="AA104" s="1057">
        <f t="shared" si="37"/>
        <v>43.76666666671397</v>
      </c>
      <c r="AB104" s="1057">
        <f t="shared" si="37"/>
        <v>46.57222222223939</v>
      </c>
      <c r="AC104" s="1058">
        <f t="shared" si="37"/>
        <v>36.472222222233384</v>
      </c>
      <c r="AD104" s="1058">
        <f t="shared" si="37"/>
        <v>40.96111111106074</v>
      </c>
      <c r="AE104" s="1058">
        <f t="shared" si="35"/>
        <v>43.76666666671397</v>
      </c>
      <c r="AF104" s="1059">
        <f t="shared" si="35"/>
        <v>33.66666666669327</v>
      </c>
      <c r="AG104" s="1059">
        <f t="shared" si="35"/>
        <v>38.15555555553082</v>
      </c>
      <c r="AH104" s="1059">
        <f t="shared" si="35"/>
        <v>40.96111111106074</v>
      </c>
      <c r="AI104" s="1060">
        <f t="shared" si="35"/>
        <v>30.86111111109234</v>
      </c>
      <c r="AJ104" s="1060">
        <f t="shared" si="35"/>
        <v>35.35</v>
      </c>
      <c r="AK104" s="1060">
        <f t="shared" si="35"/>
        <v>38.15555555553082</v>
      </c>
    </row>
    <row r="105" spans="8:8" ht="15.75" customHeight="1">
      <c r="D105" s="1049">
        <f t="shared" si="17"/>
        <v>0.28333333333334876</v>
      </c>
      <c r="E105" s="1050">
        <f t="shared" si="15"/>
        <v>81.03333333333775</v>
      </c>
      <c r="F105" s="1050">
        <f t="shared" si="16"/>
        <v>85.56666666667132</v>
      </c>
      <c r="G105" s="1050">
        <f t="shared" si="16"/>
        <v>88.40000000000481</v>
      </c>
      <c r="H105" s="1051">
        <f t="shared" si="36"/>
        <v>75.36666666664141</v>
      </c>
      <c r="I105" s="1051">
        <f t="shared" si="36"/>
        <v>79.90000000007817</v>
      </c>
      <c r="J105" s="1051">
        <f t="shared" si="36"/>
        <v>82.73333333335978</v>
      </c>
      <c r="K105" s="1052">
        <f t="shared" si="36"/>
        <v>69.70000000007246</v>
      </c>
      <c r="L105" s="1052">
        <f t="shared" si="36"/>
        <v>74.23333333328323</v>
      </c>
      <c r="M105" s="1052">
        <f t="shared" si="36"/>
        <v>77.06666666657384</v>
      </c>
      <c r="N105" s="1053">
        <f t="shared" si="36"/>
        <v>51.0</v>
      </c>
      <c r="O105" s="1053">
        <f t="shared" si="36"/>
        <v>55.53333333341516</v>
      </c>
      <c r="P105" s="1053">
        <f t="shared" si="36"/>
        <v>58.36666666670938</v>
      </c>
      <c r="Q105" s="1054">
        <f t="shared" si="36"/>
        <v>48.16666666670198</v>
      </c>
      <c r="R105" s="1054">
        <f t="shared" si="36"/>
        <v>52.69999999994163</v>
      </c>
      <c r="S105" s="1054">
        <f t="shared" si="36"/>
        <v>55.53333333341516</v>
      </c>
      <c r="T105" s="1055">
        <f t="shared" si="36"/>
        <v>45.333333333398755</v>
      </c>
      <c r="U105" s="1055">
        <f t="shared" si="33"/>
        <v>49.866666666648314</v>
      </c>
      <c r="V105" s="1055">
        <f t="shared" si="34"/>
        <v>52.69999999994163</v>
      </c>
      <c r="W105" s="1056">
        <f t="shared" si="37"/>
        <v>42.49999999995573</v>
      </c>
      <c r="X105" s="1056">
        <f t="shared" si="37"/>
        <v>47.03333333335049</v>
      </c>
      <c r="Y105" s="1056">
        <f t="shared" si="37"/>
        <v>49.866666666648314</v>
      </c>
      <c r="Z105" s="1057">
        <f t="shared" si="37"/>
        <v>39.66666666665361</v>
      </c>
      <c r="AA105" s="1057">
        <f t="shared" si="37"/>
        <v>44.20000000004727</v>
      </c>
      <c r="AB105" s="1057">
        <f t="shared" si="37"/>
        <v>47.03333333335049</v>
      </c>
      <c r="AC105" s="1058">
        <f t="shared" si="37"/>
        <v>36.833333333344484</v>
      </c>
      <c r="AD105" s="1058">
        <f t="shared" si="37"/>
        <v>41.36666666661634</v>
      </c>
      <c r="AE105" s="1058">
        <f t="shared" si="35"/>
        <v>44.20000000004727</v>
      </c>
      <c r="AF105" s="1059">
        <f t="shared" si="35"/>
        <v>34.00000000002657</v>
      </c>
      <c r="AG105" s="1059">
        <f t="shared" si="35"/>
        <v>38.53333333330862</v>
      </c>
      <c r="AH105" s="1059">
        <f t="shared" si="35"/>
        <v>41.36666666661634</v>
      </c>
      <c r="AI105" s="1060">
        <f t="shared" si="35"/>
        <v>31.16666666664794</v>
      </c>
      <c r="AJ105" s="1060">
        <f t="shared" si="35"/>
        <v>35.699999999999996</v>
      </c>
      <c r="AK105" s="1060">
        <f t="shared" si="35"/>
        <v>38.53333333330862</v>
      </c>
    </row>
    <row r="106" spans="8:8" ht="15.75" customHeight="1">
      <c r="D106" s="1049">
        <f t="shared" si="17"/>
        <v>0.28611111111112675</v>
      </c>
      <c r="E106" s="1050">
        <f t="shared" si="15"/>
        <v>81.82777777778225</v>
      </c>
      <c r="F106" s="1050">
        <f t="shared" si="16"/>
        <v>86.40555555556028</v>
      </c>
      <c r="G106" s="1050">
        <f t="shared" si="16"/>
        <v>89.26666666667154</v>
      </c>
      <c r="H106" s="1051">
        <f t="shared" si="36"/>
        <v>76.1055555555303</v>
      </c>
      <c r="I106" s="1051">
        <f t="shared" si="36"/>
        <v>80.68333333341147</v>
      </c>
      <c r="J106" s="1051">
        <f t="shared" si="36"/>
        <v>83.54444444447088</v>
      </c>
      <c r="K106" s="1052">
        <f t="shared" si="36"/>
        <v>70.38333333340576</v>
      </c>
      <c r="L106" s="1052">
        <f t="shared" si="36"/>
        <v>74.96111111106103</v>
      </c>
      <c r="M106" s="1052">
        <f t="shared" si="36"/>
        <v>77.82222222212944</v>
      </c>
      <c r="N106" s="1053">
        <f t="shared" si="36"/>
        <v>51.5</v>
      </c>
      <c r="O106" s="1053">
        <f t="shared" si="36"/>
        <v>56.07777777785956</v>
      </c>
      <c r="P106" s="1053">
        <f t="shared" si="36"/>
        <v>58.93888888893158</v>
      </c>
      <c r="Q106" s="1054">
        <f t="shared" si="36"/>
        <v>48.63888888892418</v>
      </c>
      <c r="R106" s="1054">
        <f t="shared" si="36"/>
        <v>53.21666666660833</v>
      </c>
      <c r="S106" s="1054">
        <f t="shared" si="36"/>
        <v>56.07777777785956</v>
      </c>
      <c r="T106" s="1055">
        <f t="shared" si="36"/>
        <v>45.777777777843156</v>
      </c>
      <c r="U106" s="1055">
        <f t="shared" si="33"/>
        <v>50.355555555537215</v>
      </c>
      <c r="V106" s="1055">
        <f t="shared" si="34"/>
        <v>53.21666666660833</v>
      </c>
      <c r="W106" s="1056">
        <f t="shared" si="37"/>
        <v>42.91666666662243</v>
      </c>
      <c r="X106" s="1056">
        <f t="shared" si="37"/>
        <v>47.49444444446159</v>
      </c>
      <c r="Y106" s="1056">
        <f t="shared" si="37"/>
        <v>50.355555555537215</v>
      </c>
      <c r="Z106" s="1057">
        <f t="shared" si="37"/>
        <v>40.05555555554251</v>
      </c>
      <c r="AA106" s="1057">
        <f t="shared" si="37"/>
        <v>44.63333333338057</v>
      </c>
      <c r="AB106" s="1057">
        <f t="shared" si="37"/>
        <v>47.49444444446159</v>
      </c>
      <c r="AC106" s="1058">
        <f t="shared" si="37"/>
        <v>37.194444444455584</v>
      </c>
      <c r="AD106" s="1058">
        <f t="shared" si="37"/>
        <v>41.77222222217194</v>
      </c>
      <c r="AE106" s="1058">
        <f t="shared" si="35"/>
        <v>44.63333333338057</v>
      </c>
      <c r="AF106" s="1059">
        <f t="shared" si="35"/>
        <v>34.33333333335987</v>
      </c>
      <c r="AG106" s="1059">
        <f t="shared" si="35"/>
        <v>38.91111111108642</v>
      </c>
      <c r="AH106" s="1059">
        <f t="shared" si="35"/>
        <v>41.77222222217194</v>
      </c>
      <c r="AI106" s="1060">
        <f t="shared" si="35"/>
        <v>31.47222222220354</v>
      </c>
      <c r="AJ106" s="1060">
        <f t="shared" si="35"/>
        <v>36.05</v>
      </c>
      <c r="AK106" s="1060">
        <f t="shared" si="35"/>
        <v>38.91111111108642</v>
      </c>
    </row>
    <row r="107" spans="8:8" ht="15.75" customHeight="1">
      <c r="D107" s="1049">
        <f t="shared" si="17"/>
        <v>0.2888888888889048</v>
      </c>
      <c r="E107" s="1050">
        <f t="shared" si="15"/>
        <v>82.62222222222677</v>
      </c>
      <c r="F107" s="1050">
        <f t="shared" si="16"/>
        <v>87.24444444444924</v>
      </c>
      <c r="G107" s="1050">
        <f t="shared" si="16"/>
        <v>90.1333333333383</v>
      </c>
      <c r="H107" s="1051">
        <f t="shared" si="36"/>
        <v>76.84444444441921</v>
      </c>
      <c r="I107" s="1051">
        <f t="shared" si="36"/>
        <v>81.46666666674477</v>
      </c>
      <c r="J107" s="1051">
        <f t="shared" si="36"/>
        <v>84.35555555558199</v>
      </c>
      <c r="K107" s="1052">
        <f t="shared" si="36"/>
        <v>71.06666666673907</v>
      </c>
      <c r="L107" s="1052">
        <f t="shared" si="36"/>
        <v>75.68888888883883</v>
      </c>
      <c r="M107" s="1052">
        <f t="shared" si="36"/>
        <v>78.57777777768504</v>
      </c>
      <c r="N107" s="1053">
        <f t="shared" si="36"/>
        <v>52.0</v>
      </c>
      <c r="O107" s="1053">
        <f t="shared" si="36"/>
        <v>56.622222222303954</v>
      </c>
      <c r="P107" s="1053">
        <f t="shared" si="36"/>
        <v>59.511111111153774</v>
      </c>
      <c r="Q107" s="1054">
        <f t="shared" si="36"/>
        <v>49.11111111114638</v>
      </c>
      <c r="R107" s="1054">
        <f t="shared" si="36"/>
        <v>53.733333333275034</v>
      </c>
      <c r="S107" s="1054">
        <f t="shared" si="36"/>
        <v>56.622222222303954</v>
      </c>
      <c r="T107" s="1055">
        <f t="shared" si="36"/>
        <v>46.222222222287556</v>
      </c>
      <c r="U107" s="1055">
        <f t="shared" si="38" ref="U107:AD132">U108-(U$363/360)</f>
        <v>50.84444444442611</v>
      </c>
      <c r="V107" s="1055">
        <f t="shared" si="38"/>
        <v>53.733333333275034</v>
      </c>
      <c r="W107" s="1056">
        <f t="shared" si="38"/>
        <v>43.33333333328913</v>
      </c>
      <c r="X107" s="1056">
        <f t="shared" si="38"/>
        <v>47.955555555572694</v>
      </c>
      <c r="Y107" s="1056">
        <f t="shared" si="38"/>
        <v>50.84444444442611</v>
      </c>
      <c r="Z107" s="1057">
        <f t="shared" si="38"/>
        <v>40.44444444443141</v>
      </c>
      <c r="AA107" s="1057">
        <f t="shared" si="38"/>
        <v>45.06666666671387</v>
      </c>
      <c r="AB107" s="1057">
        <f t="shared" si="38"/>
        <v>47.955555555572694</v>
      </c>
      <c r="AC107" s="1058">
        <f t="shared" si="38"/>
        <v>37.555555555566684</v>
      </c>
      <c r="AD107" s="1058">
        <f t="shared" si="38"/>
        <v>42.17777777772754</v>
      </c>
      <c r="AE107" s="1058">
        <f t="shared" si="35"/>
        <v>45.06666666671387</v>
      </c>
      <c r="AF107" s="1059">
        <f t="shared" si="35"/>
        <v>34.66666666669317</v>
      </c>
      <c r="AG107" s="1059">
        <f t="shared" si="35"/>
        <v>39.28888888886422</v>
      </c>
      <c r="AH107" s="1059">
        <f t="shared" si="35"/>
        <v>42.17777777772754</v>
      </c>
      <c r="AI107" s="1060">
        <f t="shared" si="35"/>
        <v>31.77777777775914</v>
      </c>
      <c r="AJ107" s="1060">
        <f t="shared" si="35"/>
        <v>36.4</v>
      </c>
      <c r="AK107" s="1060">
        <f t="shared" si="35"/>
        <v>39.28888888886422</v>
      </c>
    </row>
    <row r="108" spans="8:8" ht="15.75" customHeight="1">
      <c r="D108" s="1049">
        <f t="shared" si="17"/>
        <v>0.2916666666666828</v>
      </c>
      <c r="E108" s="1050">
        <f t="shared" si="15"/>
        <v>83.41666666667128</v>
      </c>
      <c r="F108" s="1050">
        <f t="shared" si="16"/>
        <v>88.0833333333382</v>
      </c>
      <c r="G108" s="1050">
        <f t="shared" si="16"/>
        <v>91.00000000000503</v>
      </c>
      <c r="H108" s="1051">
        <f t="shared" si="36"/>
        <v>77.5833333333081</v>
      </c>
      <c r="I108" s="1051">
        <f t="shared" si="36"/>
        <v>82.25000000007807</v>
      </c>
      <c r="J108" s="1051">
        <f t="shared" si="36"/>
        <v>85.16666666669309</v>
      </c>
      <c r="K108" s="1052">
        <f t="shared" si="36"/>
        <v>71.75000000007236</v>
      </c>
      <c r="L108" s="1052">
        <f t="shared" si="36"/>
        <v>76.41666666661662</v>
      </c>
      <c r="M108" s="1052">
        <f t="shared" si="36"/>
        <v>79.33333333324055</v>
      </c>
      <c r="N108" s="1053">
        <f t="shared" si="36"/>
        <v>52.5</v>
      </c>
      <c r="O108" s="1053">
        <f t="shared" si="36"/>
        <v>57.166666666748355</v>
      </c>
      <c r="P108" s="1053">
        <f t="shared" si="36"/>
        <v>60.083333333375975</v>
      </c>
      <c r="Q108" s="1054">
        <f t="shared" si="36"/>
        <v>49.58333333336858</v>
      </c>
      <c r="R108" s="1054">
        <f t="shared" si="36"/>
        <v>54.249999999941735</v>
      </c>
      <c r="S108" s="1054">
        <f t="shared" si="36"/>
        <v>57.166666666748355</v>
      </c>
      <c r="T108" s="1055">
        <f t="shared" si="36"/>
        <v>46.666666666731956</v>
      </c>
      <c r="U108" s="1055">
        <f t="shared" si="38"/>
        <v>51.33333333331501</v>
      </c>
      <c r="V108" s="1055">
        <f t="shared" si="38"/>
        <v>54.249999999941735</v>
      </c>
      <c r="W108" s="1056">
        <f t="shared" si="38"/>
        <v>43.74999999995583</v>
      </c>
      <c r="X108" s="1056">
        <f t="shared" si="38"/>
        <v>48.41666666668379</v>
      </c>
      <c r="Y108" s="1056">
        <f t="shared" si="38"/>
        <v>51.33333333331501</v>
      </c>
      <c r="Z108" s="1057">
        <f t="shared" si="38"/>
        <v>40.83333333332031</v>
      </c>
      <c r="AA108" s="1057">
        <f t="shared" si="38"/>
        <v>45.50000000004717</v>
      </c>
      <c r="AB108" s="1057">
        <f t="shared" si="38"/>
        <v>48.41666666668379</v>
      </c>
      <c r="AC108" s="1058">
        <f t="shared" si="38"/>
        <v>37.916666666677784</v>
      </c>
      <c r="AD108" s="1058">
        <f t="shared" si="38"/>
        <v>42.58333333328314</v>
      </c>
      <c r="AE108" s="1058">
        <f t="shared" si="35"/>
        <v>45.50000000004717</v>
      </c>
      <c r="AF108" s="1059">
        <f t="shared" si="35"/>
        <v>35.00000000002647</v>
      </c>
      <c r="AG108" s="1059">
        <f t="shared" si="35"/>
        <v>39.66666666664202</v>
      </c>
      <c r="AH108" s="1059">
        <f t="shared" si="35"/>
        <v>42.58333333328314</v>
      </c>
      <c r="AI108" s="1060">
        <f t="shared" si="35"/>
        <v>32.08333333331474</v>
      </c>
      <c r="AJ108" s="1060">
        <f t="shared" si="35"/>
        <v>36.75</v>
      </c>
      <c r="AK108" s="1060">
        <f t="shared" si="35"/>
        <v>39.66666666664202</v>
      </c>
    </row>
    <row r="109" spans="8:8" ht="15.75" customHeight="1">
      <c r="D109" s="1049">
        <f t="shared" si="17"/>
        <v>0.2944444444444608</v>
      </c>
      <c r="E109" s="1050">
        <f t="shared" si="15"/>
        <v>84.21111111111578</v>
      </c>
      <c r="F109" s="1050">
        <f t="shared" si="16"/>
        <v>88.92222222222715</v>
      </c>
      <c r="G109" s="1050">
        <f t="shared" si="16"/>
        <v>91.86666666667176</v>
      </c>
      <c r="H109" s="1051">
        <f t="shared" si="36"/>
        <v>78.32222222219701</v>
      </c>
      <c r="I109" s="1051">
        <f t="shared" si="36"/>
        <v>83.03333333341136</v>
      </c>
      <c r="J109" s="1051">
        <f t="shared" si="36"/>
        <v>85.97777777780418</v>
      </c>
      <c r="K109" s="1052">
        <f t="shared" si="36"/>
        <v>72.43333333340566</v>
      </c>
      <c r="L109" s="1052">
        <f t="shared" si="36"/>
        <v>77.14444444439442</v>
      </c>
      <c r="M109" s="1052">
        <f t="shared" si="36"/>
        <v>80.08888888879613</v>
      </c>
      <c r="N109" s="1053">
        <f t="shared" si="36"/>
        <v>53.0</v>
      </c>
      <c r="O109" s="1053">
        <f t="shared" si="36"/>
        <v>57.71111111119276</v>
      </c>
      <c r="P109" s="1053">
        <f t="shared" si="36"/>
        <v>60.65555555559818</v>
      </c>
      <c r="Q109" s="1054">
        <f t="shared" si="36"/>
        <v>50.05555555559078</v>
      </c>
      <c r="R109" s="1054">
        <f t="shared" si="36"/>
        <v>54.76666666660844</v>
      </c>
      <c r="S109" s="1054">
        <f t="shared" si="36"/>
        <v>57.71111111119276</v>
      </c>
      <c r="T109" s="1055">
        <f t="shared" si="36"/>
        <v>47.111111111176356</v>
      </c>
      <c r="U109" s="1055">
        <f t="shared" si="38"/>
        <v>51.82222222220391</v>
      </c>
      <c r="V109" s="1055">
        <f t="shared" si="38"/>
        <v>54.76666666660844</v>
      </c>
      <c r="W109" s="1056">
        <f t="shared" si="38"/>
        <v>44.16666666662253</v>
      </c>
      <c r="X109" s="1056">
        <f t="shared" si="38"/>
        <v>48.87777777779489</v>
      </c>
      <c r="Y109" s="1056">
        <f t="shared" si="38"/>
        <v>51.82222222220391</v>
      </c>
      <c r="Z109" s="1057">
        <f t="shared" si="38"/>
        <v>41.22222222220921</v>
      </c>
      <c r="AA109" s="1057">
        <f t="shared" si="38"/>
        <v>45.93333333338047</v>
      </c>
      <c r="AB109" s="1057">
        <f t="shared" si="38"/>
        <v>48.87777777779489</v>
      </c>
      <c r="AC109" s="1058">
        <f t="shared" si="38"/>
        <v>38.277777777788884</v>
      </c>
      <c r="AD109" s="1058">
        <f t="shared" si="38"/>
        <v>42.988888888838744</v>
      </c>
      <c r="AE109" s="1058">
        <f t="shared" si="35"/>
        <v>45.93333333338047</v>
      </c>
      <c r="AF109" s="1059">
        <f t="shared" si="35"/>
        <v>35.33333333335976</v>
      </c>
      <c r="AG109" s="1059">
        <f t="shared" si="35"/>
        <v>40.04444444441982</v>
      </c>
      <c r="AH109" s="1059">
        <f t="shared" si="35"/>
        <v>42.988888888838744</v>
      </c>
      <c r="AI109" s="1060">
        <f t="shared" si="35"/>
        <v>32.38888888887034</v>
      </c>
      <c r="AJ109" s="1060">
        <f t="shared" si="35"/>
        <v>37.1</v>
      </c>
      <c r="AK109" s="1060">
        <f t="shared" si="35"/>
        <v>40.04444444441982</v>
      </c>
    </row>
    <row r="110" spans="8:8" ht="15.75" customHeight="1">
      <c r="D110" s="1049">
        <f t="shared" si="17"/>
        <v>0.29722222222223876</v>
      </c>
      <c r="E110" s="1050">
        <f t="shared" si="15"/>
        <v>85.00555555556029</v>
      </c>
      <c r="F110" s="1050">
        <f t="shared" si="16"/>
        <v>89.76111111111611</v>
      </c>
      <c r="G110" s="1050">
        <f t="shared" si="16"/>
        <v>92.73333333333849</v>
      </c>
      <c r="H110" s="1051">
        <f t="shared" si="36"/>
        <v>79.0611111110859</v>
      </c>
      <c r="I110" s="1051">
        <f t="shared" si="36"/>
        <v>83.81666666674467</v>
      </c>
      <c r="J110" s="1051">
        <f t="shared" si="36"/>
        <v>86.78888888891528</v>
      </c>
      <c r="K110" s="1052">
        <f t="shared" si="36"/>
        <v>73.11666666673896</v>
      </c>
      <c r="L110" s="1052">
        <f t="shared" si="36"/>
        <v>77.87222222217223</v>
      </c>
      <c r="M110" s="1052">
        <f t="shared" si="36"/>
        <v>80.84444444435174</v>
      </c>
      <c r="N110" s="1053">
        <f t="shared" si="36"/>
        <v>53.5</v>
      </c>
      <c r="O110" s="1053">
        <f t="shared" si="36"/>
        <v>58.25555555563716</v>
      </c>
      <c r="P110" s="1053">
        <f t="shared" si="36"/>
        <v>61.22777777782038</v>
      </c>
      <c r="Q110" s="1054">
        <f t="shared" si="36"/>
        <v>50.52777777781298</v>
      </c>
      <c r="R110" s="1054">
        <f t="shared" si="36"/>
        <v>55.28333333327513</v>
      </c>
      <c r="S110" s="1054">
        <f t="shared" si="36"/>
        <v>58.25555555563716</v>
      </c>
      <c r="T110" s="1055">
        <f t="shared" si="36"/>
        <v>47.55555555562076</v>
      </c>
      <c r="U110" s="1055">
        <f t="shared" si="38"/>
        <v>52.31111111109281</v>
      </c>
      <c r="V110" s="1055">
        <f t="shared" si="38"/>
        <v>55.28333333327513</v>
      </c>
      <c r="W110" s="1056">
        <f t="shared" si="38"/>
        <v>44.58333333328923</v>
      </c>
      <c r="X110" s="1056">
        <f t="shared" si="38"/>
        <v>49.33888888890599</v>
      </c>
      <c r="Y110" s="1056">
        <f t="shared" si="38"/>
        <v>52.31111111109281</v>
      </c>
      <c r="Z110" s="1057">
        <f t="shared" si="38"/>
        <v>41.61111111109811</v>
      </c>
      <c r="AA110" s="1057">
        <f t="shared" si="38"/>
        <v>46.36666666671377</v>
      </c>
      <c r="AB110" s="1057">
        <f t="shared" si="38"/>
        <v>49.33888888890599</v>
      </c>
      <c r="AC110" s="1058">
        <f t="shared" si="38"/>
        <v>38.638888888899984</v>
      </c>
      <c r="AD110" s="1058">
        <f t="shared" si="38"/>
        <v>43.39444444439434</v>
      </c>
      <c r="AE110" s="1058">
        <f t="shared" si="35"/>
        <v>46.36666666671377</v>
      </c>
      <c r="AF110" s="1059">
        <f t="shared" si="35"/>
        <v>35.66666666669306</v>
      </c>
      <c r="AG110" s="1059">
        <f t="shared" si="35"/>
        <v>40.42222222219762</v>
      </c>
      <c r="AH110" s="1059">
        <f t="shared" si="35"/>
        <v>43.39444444439434</v>
      </c>
      <c r="AI110" s="1060">
        <f t="shared" si="35"/>
        <v>32.69444444442594</v>
      </c>
      <c r="AJ110" s="1060">
        <f t="shared" si="35"/>
        <v>37.449999999999996</v>
      </c>
      <c r="AK110" s="1060">
        <f t="shared" si="35"/>
        <v>40.42222222219762</v>
      </c>
    </row>
    <row r="111" spans="8:8" ht="15.75" customHeight="1">
      <c r="D111" s="1049">
        <f t="shared" si="17"/>
        <v>0.30000000000001675</v>
      </c>
      <c r="E111" s="1050">
        <f t="shared" si="15"/>
        <v>85.80000000000479</v>
      </c>
      <c r="F111" s="1050">
        <f t="shared" si="16"/>
        <v>90.60000000000505</v>
      </c>
      <c r="G111" s="1050">
        <f t="shared" si="16"/>
        <v>93.60000000000522</v>
      </c>
      <c r="H111" s="1051">
        <f t="shared" si="36"/>
        <v>79.7999999999748</v>
      </c>
      <c r="I111" s="1051">
        <f t="shared" si="36"/>
        <v>84.60000000007797</v>
      </c>
      <c r="J111" s="1051">
        <f t="shared" si="36"/>
        <v>87.60000000002638</v>
      </c>
      <c r="K111" s="1052">
        <f t="shared" si="36"/>
        <v>73.80000000007226</v>
      </c>
      <c r="L111" s="1052">
        <f t="shared" si="36"/>
        <v>78.59999999995003</v>
      </c>
      <c r="M111" s="1052">
        <f t="shared" si="36"/>
        <v>81.59999999990734</v>
      </c>
      <c r="N111" s="1053">
        <f t="shared" si="36"/>
        <v>54.0</v>
      </c>
      <c r="O111" s="1053">
        <f t="shared" si="36"/>
        <v>58.80000000008155</v>
      </c>
      <c r="P111" s="1053">
        <f t="shared" si="36"/>
        <v>61.80000000004258</v>
      </c>
      <c r="Q111" s="1054">
        <f t="shared" si="36"/>
        <v>51.00000000003518</v>
      </c>
      <c r="R111" s="1054">
        <f t="shared" si="36"/>
        <v>55.79999999994183</v>
      </c>
      <c r="S111" s="1054">
        <f t="shared" si="36"/>
        <v>58.80000000008155</v>
      </c>
      <c r="T111" s="1055">
        <f t="shared" si="36"/>
        <v>48.00000000006516</v>
      </c>
      <c r="U111" s="1055">
        <f t="shared" si="38"/>
        <v>52.799999999981715</v>
      </c>
      <c r="V111" s="1055">
        <f t="shared" si="38"/>
        <v>55.79999999994183</v>
      </c>
      <c r="W111" s="1056">
        <f t="shared" si="38"/>
        <v>44.99999999995594</v>
      </c>
      <c r="X111" s="1056">
        <f t="shared" si="38"/>
        <v>49.80000000001709</v>
      </c>
      <c r="Y111" s="1056">
        <f t="shared" si="38"/>
        <v>52.799999999981715</v>
      </c>
      <c r="Z111" s="1057">
        <f t="shared" si="38"/>
        <v>41.99999999998701</v>
      </c>
      <c r="AA111" s="1057">
        <f t="shared" si="38"/>
        <v>46.80000000004707</v>
      </c>
      <c r="AB111" s="1057">
        <f t="shared" si="38"/>
        <v>49.80000000001709</v>
      </c>
      <c r="AC111" s="1058">
        <f t="shared" si="38"/>
        <v>39.000000000011084</v>
      </c>
      <c r="AD111" s="1058">
        <f t="shared" si="38"/>
        <v>43.79999999994994</v>
      </c>
      <c r="AE111" s="1058">
        <f t="shared" si="35"/>
        <v>46.80000000004707</v>
      </c>
      <c r="AF111" s="1059">
        <f t="shared" si="35"/>
        <v>36.00000000002636</v>
      </c>
      <c r="AG111" s="1059">
        <f t="shared" si="35"/>
        <v>40.79999999997542</v>
      </c>
      <c r="AH111" s="1059">
        <f t="shared" si="35"/>
        <v>43.79999999994994</v>
      </c>
      <c r="AI111" s="1060">
        <f t="shared" si="35"/>
        <v>32.99999999998154</v>
      </c>
      <c r="AJ111" s="1060">
        <f t="shared" si="35"/>
        <v>37.8</v>
      </c>
      <c r="AK111" s="1060">
        <f t="shared" si="35"/>
        <v>40.79999999997542</v>
      </c>
    </row>
    <row r="112" spans="8:8" ht="15.75" customHeight="1">
      <c r="D112" s="1049">
        <f t="shared" si="17"/>
        <v>0.30277777777779474</v>
      </c>
      <c r="E112" s="1050">
        <f t="shared" si="15"/>
        <v>86.5944444444493</v>
      </c>
      <c r="F112" s="1050">
        <f t="shared" si="16"/>
        <v>91.43888888889401</v>
      </c>
      <c r="G112" s="1050">
        <f t="shared" si="16"/>
        <v>94.46666666667195</v>
      </c>
      <c r="H112" s="1051">
        <f t="shared" si="36"/>
        <v>80.53888888886371</v>
      </c>
      <c r="I112" s="1051">
        <f t="shared" si="36"/>
        <v>85.38333333341127</v>
      </c>
      <c r="J112" s="1051">
        <f t="shared" si="36"/>
        <v>88.41111111113749</v>
      </c>
      <c r="K112" s="1052">
        <f t="shared" si="36"/>
        <v>74.48333333340557</v>
      </c>
      <c r="L112" s="1052">
        <f t="shared" si="36"/>
        <v>79.32777777772783</v>
      </c>
      <c r="M112" s="1052">
        <f t="shared" si="36"/>
        <v>82.35555555546294</v>
      </c>
      <c r="N112" s="1053">
        <f t="shared" si="36"/>
        <v>54.5</v>
      </c>
      <c r="O112" s="1053">
        <f t="shared" si="36"/>
        <v>59.344444444525955</v>
      </c>
      <c r="P112" s="1053">
        <f t="shared" si="36"/>
        <v>62.372222222264774</v>
      </c>
      <c r="Q112" s="1054">
        <f t="shared" si="36"/>
        <v>51.47222222225738</v>
      </c>
      <c r="R112" s="1054">
        <f t="shared" si="36"/>
        <v>56.31666666660853</v>
      </c>
      <c r="S112" s="1054">
        <f t="shared" si="36"/>
        <v>59.344444444525955</v>
      </c>
      <c r="T112" s="1055">
        <f t="shared" si="36"/>
        <v>48.44444444450956</v>
      </c>
      <c r="U112" s="1055">
        <f t="shared" si="38"/>
        <v>53.288888888870616</v>
      </c>
      <c r="V112" s="1055">
        <f t="shared" si="38"/>
        <v>56.31666666660853</v>
      </c>
      <c r="W112" s="1056">
        <f t="shared" si="38"/>
        <v>45.41666666662264</v>
      </c>
      <c r="X112" s="1056">
        <f t="shared" si="38"/>
        <v>50.261111111128194</v>
      </c>
      <c r="Y112" s="1056">
        <f t="shared" si="38"/>
        <v>53.288888888870616</v>
      </c>
      <c r="Z112" s="1057">
        <f t="shared" si="38"/>
        <v>42.38888888887591</v>
      </c>
      <c r="AA112" s="1057">
        <f t="shared" si="38"/>
        <v>47.23333333338037</v>
      </c>
      <c r="AB112" s="1057">
        <f t="shared" si="38"/>
        <v>50.261111111128194</v>
      </c>
      <c r="AC112" s="1058">
        <f t="shared" si="38"/>
        <v>39.361111111122185</v>
      </c>
      <c r="AD112" s="1058">
        <f t="shared" si="38"/>
        <v>44.20555555550554</v>
      </c>
      <c r="AE112" s="1058">
        <f t="shared" si="35"/>
        <v>47.23333333338037</v>
      </c>
      <c r="AF112" s="1059">
        <f t="shared" si="35"/>
        <v>36.33333333335966</v>
      </c>
      <c r="AG112" s="1059">
        <f t="shared" si="35"/>
        <v>41.17777777775322</v>
      </c>
      <c r="AH112" s="1059">
        <f t="shared" si="35"/>
        <v>44.20555555550554</v>
      </c>
      <c r="AI112" s="1060">
        <f t="shared" si="35"/>
        <v>33.30555555553714</v>
      </c>
      <c r="AJ112" s="1060">
        <f t="shared" si="35"/>
        <v>38.15</v>
      </c>
      <c r="AK112" s="1060">
        <f t="shared" si="35"/>
        <v>41.17777777775322</v>
      </c>
    </row>
    <row r="113" spans="8:8" ht="15.75" customHeight="1">
      <c r="D113" s="1049">
        <f t="shared" si="17"/>
        <v>0.3055555555555728</v>
      </c>
      <c r="E113" s="1050">
        <f t="shared" si="15"/>
        <v>87.38888888889382</v>
      </c>
      <c r="F113" s="1050">
        <f t="shared" si="16"/>
        <v>92.27777777778299</v>
      </c>
      <c r="G113" s="1050">
        <f t="shared" si="16"/>
        <v>95.33333333333871</v>
      </c>
      <c r="H113" s="1051">
        <f t="shared" si="36"/>
        <v>81.2777777777526</v>
      </c>
      <c r="I113" s="1051">
        <f t="shared" si="36"/>
        <v>86.16666666674458</v>
      </c>
      <c r="J113" s="1051">
        <f t="shared" si="36"/>
        <v>89.22222222224859</v>
      </c>
      <c r="K113" s="1052">
        <f t="shared" si="36"/>
        <v>75.16666666673886</v>
      </c>
      <c r="L113" s="1052">
        <f t="shared" si="36"/>
        <v>80.05555555550562</v>
      </c>
      <c r="M113" s="1052">
        <f t="shared" si="36"/>
        <v>83.11111111101854</v>
      </c>
      <c r="N113" s="1053">
        <f t="shared" si="36"/>
        <v>55.0</v>
      </c>
      <c r="O113" s="1053">
        <f t="shared" si="36"/>
        <v>59.88888888897036</v>
      </c>
      <c r="P113" s="1053">
        <f t="shared" si="36"/>
        <v>62.944444444486976</v>
      </c>
      <c r="Q113" s="1054">
        <f t="shared" si="36"/>
        <v>51.94444444447958</v>
      </c>
      <c r="R113" s="1054">
        <f t="shared" si="36"/>
        <v>56.833333333275235</v>
      </c>
      <c r="S113" s="1054">
        <f t="shared" si="36"/>
        <v>59.88888888897036</v>
      </c>
      <c r="T113" s="1055">
        <f t="shared" si="36"/>
        <v>48.88888888895396</v>
      </c>
      <c r="U113" s="1055">
        <f t="shared" si="38"/>
        <v>53.77777777775951</v>
      </c>
      <c r="V113" s="1055">
        <f t="shared" si="38"/>
        <v>56.833333333275235</v>
      </c>
      <c r="W113" s="1056">
        <f t="shared" si="38"/>
        <v>45.83333333328934</v>
      </c>
      <c r="X113" s="1056">
        <f t="shared" si="38"/>
        <v>50.72222222223929</v>
      </c>
      <c r="Y113" s="1056">
        <f t="shared" si="38"/>
        <v>53.77777777775951</v>
      </c>
      <c r="Z113" s="1057">
        <f t="shared" si="38"/>
        <v>42.77777777776481</v>
      </c>
      <c r="AA113" s="1057">
        <f t="shared" si="38"/>
        <v>47.66666666671367</v>
      </c>
      <c r="AB113" s="1057">
        <f t="shared" si="38"/>
        <v>50.72222222223929</v>
      </c>
      <c r="AC113" s="1058">
        <f t="shared" si="38"/>
        <v>39.722222222233285</v>
      </c>
      <c r="AD113" s="1058">
        <f t="shared" si="38"/>
        <v>44.61111111106114</v>
      </c>
      <c r="AE113" s="1058">
        <f t="shared" si="35"/>
        <v>47.66666666671367</v>
      </c>
      <c r="AF113" s="1059">
        <f t="shared" si="35"/>
        <v>36.66666666669296</v>
      </c>
      <c r="AG113" s="1059">
        <f t="shared" si="35"/>
        <v>41.55555555553102</v>
      </c>
      <c r="AH113" s="1059">
        <f t="shared" si="35"/>
        <v>44.61111111106114</v>
      </c>
      <c r="AI113" s="1060">
        <f t="shared" si="35"/>
        <v>33.61111111109274</v>
      </c>
      <c r="AJ113" s="1060">
        <f t="shared" si="35"/>
        <v>38.5</v>
      </c>
      <c r="AK113" s="1060">
        <f t="shared" si="35"/>
        <v>41.55555555553102</v>
      </c>
    </row>
    <row r="114" spans="8:8" ht="15.75" customHeight="1">
      <c r="D114" s="1049">
        <f t="shared" si="17"/>
        <v>0.3083333333333508</v>
      </c>
      <c r="E114" s="1050">
        <f t="shared" si="15"/>
        <v>88.18333333333833</v>
      </c>
      <c r="F114" s="1050">
        <f t="shared" si="16"/>
        <v>93.11666666667193</v>
      </c>
      <c r="G114" s="1050">
        <f t="shared" si="16"/>
        <v>96.20000000000545</v>
      </c>
      <c r="H114" s="1051">
        <f t="shared" si="36"/>
        <v>82.01666666664151</v>
      </c>
      <c r="I114" s="1051">
        <f t="shared" si="36"/>
        <v>86.95000000007786</v>
      </c>
      <c r="J114" s="1051">
        <f t="shared" si="36"/>
        <v>90.03333333335968</v>
      </c>
      <c r="K114" s="1052">
        <f t="shared" si="36"/>
        <v>75.85000000007216</v>
      </c>
      <c r="L114" s="1052">
        <f t="shared" si="36"/>
        <v>80.78333333328342</v>
      </c>
      <c r="M114" s="1052">
        <f t="shared" si="36"/>
        <v>83.86666666657413</v>
      </c>
      <c r="N114" s="1053">
        <f t="shared" si="36"/>
        <v>55.5</v>
      </c>
      <c r="O114" s="1053">
        <f t="shared" si="36"/>
        <v>60.43333333341476</v>
      </c>
      <c r="P114" s="1053">
        <f t="shared" si="36"/>
        <v>63.51666666670917</v>
      </c>
      <c r="Q114" s="1054">
        <f t="shared" si="36"/>
        <v>52.41666666670178</v>
      </c>
      <c r="R114" s="1054">
        <f t="shared" si="36"/>
        <v>57.349999999941936</v>
      </c>
      <c r="S114" s="1054">
        <f t="shared" si="36"/>
        <v>60.43333333341476</v>
      </c>
      <c r="T114" s="1055">
        <f t="shared" si="36"/>
        <v>49.33333333339836</v>
      </c>
      <c r="U114" s="1055">
        <f t="shared" si="38"/>
        <v>54.26666666664841</v>
      </c>
      <c r="V114" s="1055">
        <f t="shared" si="38"/>
        <v>57.349999999941936</v>
      </c>
      <c r="W114" s="1056">
        <f t="shared" si="38"/>
        <v>46.24999999995604</v>
      </c>
      <c r="X114" s="1056">
        <f t="shared" si="38"/>
        <v>51.18333333335039</v>
      </c>
      <c r="Y114" s="1056">
        <f t="shared" si="38"/>
        <v>54.26666666664841</v>
      </c>
      <c r="Z114" s="1057">
        <f t="shared" si="38"/>
        <v>43.16666666665371</v>
      </c>
      <c r="AA114" s="1057">
        <f t="shared" si="38"/>
        <v>48.10000000004697</v>
      </c>
      <c r="AB114" s="1057">
        <f t="shared" si="38"/>
        <v>51.18333333335039</v>
      </c>
      <c r="AC114" s="1058">
        <f t="shared" si="38"/>
        <v>40.083333333344385</v>
      </c>
      <c r="AD114" s="1058">
        <f t="shared" si="38"/>
        <v>45.01666666661674</v>
      </c>
      <c r="AE114" s="1058">
        <f t="shared" si="35"/>
        <v>48.10000000004697</v>
      </c>
      <c r="AF114" s="1059">
        <f t="shared" si="35"/>
        <v>37.00000000002626</v>
      </c>
      <c r="AG114" s="1059">
        <f t="shared" si="35"/>
        <v>41.93333333330882</v>
      </c>
      <c r="AH114" s="1059">
        <f t="shared" si="35"/>
        <v>45.01666666661674</v>
      </c>
      <c r="AI114" s="1060">
        <f t="shared" si="35"/>
        <v>33.91666666664834</v>
      </c>
      <c r="AJ114" s="1060">
        <f t="shared" si="35"/>
        <v>38.85</v>
      </c>
      <c r="AK114" s="1060">
        <f t="shared" si="35"/>
        <v>41.93333333330882</v>
      </c>
    </row>
    <row r="115" spans="8:8" ht="15.75" customHeight="1">
      <c r="D115" s="1049">
        <f t="shared" si="17"/>
        <v>0.31111111111112877</v>
      </c>
      <c r="E115" s="1050">
        <f t="shared" si="15"/>
        <v>88.97777777778283</v>
      </c>
      <c r="F115" s="1050">
        <f t="shared" si="16"/>
        <v>93.95555555556089</v>
      </c>
      <c r="G115" s="1050">
        <f t="shared" si="16"/>
        <v>97.06666666667218</v>
      </c>
      <c r="H115" s="1051">
        <f t="shared" si="36"/>
        <v>82.7555555555304</v>
      </c>
      <c r="I115" s="1051">
        <f t="shared" si="36"/>
        <v>87.73333333341117</v>
      </c>
      <c r="J115" s="1051">
        <f t="shared" si="36"/>
        <v>90.84444444447078</v>
      </c>
      <c r="K115" s="1052">
        <f t="shared" si="36"/>
        <v>76.53333333340547</v>
      </c>
      <c r="L115" s="1052">
        <f t="shared" si="36"/>
        <v>81.51111111106123</v>
      </c>
      <c r="M115" s="1052">
        <f t="shared" si="36"/>
        <v>84.62222222212974</v>
      </c>
      <c r="N115" s="1053">
        <f t="shared" si="36"/>
        <v>56.0</v>
      </c>
      <c r="O115" s="1053">
        <f t="shared" si="36"/>
        <v>60.97777777785915</v>
      </c>
      <c r="P115" s="1053">
        <f t="shared" si="36"/>
        <v>64.08888888893138</v>
      </c>
      <c r="Q115" s="1054">
        <f t="shared" si="36"/>
        <v>52.88888888892398</v>
      </c>
      <c r="R115" s="1054">
        <f t="shared" si="36"/>
        <v>57.86666666660864</v>
      </c>
      <c r="S115" s="1054">
        <f t="shared" si="36"/>
        <v>60.97777777785915</v>
      </c>
      <c r="T115" s="1055">
        <f t="shared" si="39" ref="T115:T146">T116-(T$363/360)</f>
        <v>49.77777777784276</v>
      </c>
      <c r="U115" s="1055">
        <f t="shared" si="38"/>
        <v>54.75555555553731</v>
      </c>
      <c r="V115" s="1055">
        <f t="shared" si="38"/>
        <v>57.86666666660864</v>
      </c>
      <c r="W115" s="1056">
        <f t="shared" si="38"/>
        <v>46.66666666662274</v>
      </c>
      <c r="X115" s="1056">
        <f t="shared" si="38"/>
        <v>51.64444444446149</v>
      </c>
      <c r="Y115" s="1056">
        <f t="shared" si="38"/>
        <v>54.75555555553731</v>
      </c>
      <c r="Z115" s="1057">
        <f t="shared" si="38"/>
        <v>43.55555555554261</v>
      </c>
      <c r="AA115" s="1057">
        <f t="shared" si="38"/>
        <v>48.53333333338027</v>
      </c>
      <c r="AB115" s="1057">
        <f t="shared" si="38"/>
        <v>51.64444444446149</v>
      </c>
      <c r="AC115" s="1058">
        <f t="shared" si="38"/>
        <v>40.444444444455485</v>
      </c>
      <c r="AD115" s="1058">
        <f t="shared" si="38"/>
        <v>45.422222222172344</v>
      </c>
      <c r="AE115" s="1058">
        <f t="shared" si="35"/>
        <v>48.53333333338027</v>
      </c>
      <c r="AF115" s="1059">
        <f t="shared" si="35"/>
        <v>37.33333333335956</v>
      </c>
      <c r="AG115" s="1059">
        <f t="shared" si="35"/>
        <v>42.31111111108662</v>
      </c>
      <c r="AH115" s="1059">
        <f t="shared" si="35"/>
        <v>45.422222222172344</v>
      </c>
      <c r="AI115" s="1060">
        <f t="shared" si="35"/>
        <v>34.222222222203946</v>
      </c>
      <c r="AJ115" s="1060">
        <f t="shared" si="35"/>
        <v>39.199999999999996</v>
      </c>
      <c r="AK115" s="1060">
        <f t="shared" si="35"/>
        <v>42.31111111108662</v>
      </c>
    </row>
    <row r="116" spans="8:8" ht="15.75" customHeight="1">
      <c r="D116" s="1049">
        <f t="shared" si="17"/>
        <v>0.31388888888890676</v>
      </c>
      <c r="E116" s="1050">
        <f t="shared" si="15"/>
        <v>89.77222222222733</v>
      </c>
      <c r="F116" s="1050">
        <f t="shared" si="16"/>
        <v>94.79444444444984</v>
      </c>
      <c r="G116" s="1050">
        <f t="shared" si="16"/>
        <v>97.93333333333891</v>
      </c>
      <c r="H116" s="1051">
        <f t="shared" si="40" ref="H116:S132">H117-(H$363/360)</f>
        <v>83.4944444444193</v>
      </c>
      <c r="I116" s="1051">
        <f t="shared" si="40"/>
        <v>88.51666666674447</v>
      </c>
      <c r="J116" s="1051">
        <f t="shared" si="40"/>
        <v>91.65555555558188</v>
      </c>
      <c r="K116" s="1052">
        <f t="shared" si="40"/>
        <v>77.21666666673876</v>
      </c>
      <c r="L116" s="1052">
        <f t="shared" si="40"/>
        <v>82.23888888883903</v>
      </c>
      <c r="M116" s="1052">
        <f t="shared" si="40"/>
        <v>85.37777777768534</v>
      </c>
      <c r="N116" s="1053">
        <f t="shared" si="40"/>
        <v>56.5</v>
      </c>
      <c r="O116" s="1053">
        <f t="shared" si="40"/>
        <v>61.522222222303554</v>
      </c>
      <c r="P116" s="1053">
        <f t="shared" si="40"/>
        <v>64.66111111115357</v>
      </c>
      <c r="Q116" s="1054">
        <f t="shared" si="40"/>
        <v>53.36111111114618</v>
      </c>
      <c r="R116" s="1054">
        <f t="shared" si="40"/>
        <v>58.38333333327533</v>
      </c>
      <c r="S116" s="1054">
        <f t="shared" si="40"/>
        <v>61.522222222303554</v>
      </c>
      <c r="T116" s="1055">
        <f t="shared" si="39"/>
        <v>50.22222222228716</v>
      </c>
      <c r="U116" s="1055">
        <f t="shared" si="38"/>
        <v>55.244444444426215</v>
      </c>
      <c r="V116" s="1055">
        <f t="shared" si="38"/>
        <v>58.38333333327533</v>
      </c>
      <c r="W116" s="1056">
        <f t="shared" si="38"/>
        <v>47.08333333328944</v>
      </c>
      <c r="X116" s="1056">
        <f t="shared" si="38"/>
        <v>52.10555555557259</v>
      </c>
      <c r="Y116" s="1056">
        <f t="shared" si="38"/>
        <v>55.244444444426215</v>
      </c>
      <c r="Z116" s="1057">
        <f t="shared" si="38"/>
        <v>43.94444444443151</v>
      </c>
      <c r="AA116" s="1057">
        <f t="shared" si="38"/>
        <v>48.96666666671357</v>
      </c>
      <c r="AB116" s="1057">
        <f t="shared" si="38"/>
        <v>52.10555555557259</v>
      </c>
      <c r="AC116" s="1058">
        <f t="shared" si="38"/>
        <v>40.805555555566585</v>
      </c>
      <c r="AD116" s="1058">
        <f t="shared" si="38"/>
        <v>45.82777777772794</v>
      </c>
      <c r="AE116" s="1058">
        <f t="shared" si="35"/>
        <v>48.96666666671357</v>
      </c>
      <c r="AF116" s="1059">
        <f t="shared" si="35"/>
        <v>37.66666666669286</v>
      </c>
      <c r="AG116" s="1059">
        <f t="shared" si="35"/>
        <v>42.68888888886442</v>
      </c>
      <c r="AH116" s="1059">
        <f t="shared" si="35"/>
        <v>45.82777777772794</v>
      </c>
      <c r="AI116" s="1060">
        <f t="shared" si="35"/>
        <v>34.527777777759546</v>
      </c>
      <c r="AJ116" s="1060">
        <f t="shared" si="35"/>
        <v>39.55</v>
      </c>
      <c r="AK116" s="1060">
        <f t="shared" si="35"/>
        <v>42.68888888886442</v>
      </c>
    </row>
    <row r="117" spans="8:8" ht="15.75" customHeight="1">
      <c r="D117" s="1049">
        <f t="shared" si="17"/>
        <v>0.31666666666668475</v>
      </c>
      <c r="E117" s="1050">
        <f t="shared" si="15"/>
        <v>90.56666666667184</v>
      </c>
      <c r="F117" s="1050">
        <f t="shared" si="16"/>
        <v>95.6333333333388</v>
      </c>
      <c r="G117" s="1050">
        <f t="shared" si="16"/>
        <v>98.80000000000564</v>
      </c>
      <c r="H117" s="1051">
        <f t="shared" si="40"/>
        <v>84.23333333330821</v>
      </c>
      <c r="I117" s="1051">
        <f t="shared" si="40"/>
        <v>89.30000000007777</v>
      </c>
      <c r="J117" s="1051">
        <f t="shared" si="40"/>
        <v>92.46666666669299</v>
      </c>
      <c r="K117" s="1052">
        <f t="shared" si="40"/>
        <v>77.90000000007207</v>
      </c>
      <c r="L117" s="1052">
        <f t="shared" si="40"/>
        <v>82.96666666661683</v>
      </c>
      <c r="M117" s="1052">
        <f t="shared" si="40"/>
        <v>86.13333333324094</v>
      </c>
      <c r="N117" s="1053">
        <f t="shared" si="40"/>
        <v>57.0</v>
      </c>
      <c r="O117" s="1053">
        <f t="shared" si="40"/>
        <v>62.066666666747956</v>
      </c>
      <c r="P117" s="1053">
        <f t="shared" si="40"/>
        <v>65.23333333337578</v>
      </c>
      <c r="Q117" s="1054">
        <f t="shared" si="40"/>
        <v>53.83333333336838</v>
      </c>
      <c r="R117" s="1054">
        <f t="shared" si="40"/>
        <v>58.89999999994203</v>
      </c>
      <c r="S117" s="1054">
        <f t="shared" si="40"/>
        <v>62.066666666747956</v>
      </c>
      <c r="T117" s="1055">
        <f t="shared" si="39"/>
        <v>50.66666666673156</v>
      </c>
      <c r="U117" s="1055">
        <f t="shared" si="38"/>
        <v>55.733333333315116</v>
      </c>
      <c r="V117" s="1055">
        <f t="shared" si="38"/>
        <v>58.89999999994203</v>
      </c>
      <c r="W117" s="1056">
        <f t="shared" si="38"/>
        <v>47.49999999995614</v>
      </c>
      <c r="X117" s="1056">
        <f t="shared" si="38"/>
        <v>52.566666666683695</v>
      </c>
      <c r="Y117" s="1056">
        <f t="shared" si="38"/>
        <v>55.733333333315116</v>
      </c>
      <c r="Z117" s="1057">
        <f t="shared" si="38"/>
        <v>44.33333333332041</v>
      </c>
      <c r="AA117" s="1057">
        <f t="shared" si="38"/>
        <v>49.40000000004687</v>
      </c>
      <c r="AB117" s="1057">
        <f t="shared" si="38"/>
        <v>52.566666666683695</v>
      </c>
      <c r="AC117" s="1058">
        <f t="shared" si="38"/>
        <v>41.166666666677685</v>
      </c>
      <c r="AD117" s="1058">
        <f t="shared" si="38"/>
        <v>46.23333333328354</v>
      </c>
      <c r="AE117" s="1058">
        <f t="shared" si="35"/>
        <v>49.40000000004687</v>
      </c>
      <c r="AF117" s="1059">
        <f t="shared" si="35"/>
        <v>38.00000000002616</v>
      </c>
      <c r="AG117" s="1059">
        <f t="shared" si="35"/>
        <v>43.06666666664222</v>
      </c>
      <c r="AH117" s="1059">
        <f t="shared" si="35"/>
        <v>46.23333333328354</v>
      </c>
      <c r="AI117" s="1060">
        <f t="shared" si="35"/>
        <v>34.833333333315146</v>
      </c>
      <c r="AJ117" s="1060">
        <f t="shared" si="35"/>
        <v>39.9</v>
      </c>
      <c r="AK117" s="1060">
        <f t="shared" si="35"/>
        <v>43.06666666664222</v>
      </c>
    </row>
    <row r="118" spans="8:8" ht="15.75" customHeight="1">
      <c r="D118" s="1049">
        <f t="shared" si="17"/>
        <v>0.3194444444444628</v>
      </c>
      <c r="E118" s="1050">
        <f t="shared" si="15"/>
        <v>91.36111111111636</v>
      </c>
      <c r="F118" s="1050">
        <f t="shared" si="16"/>
        <v>96.47222222222777</v>
      </c>
      <c r="G118" s="1050">
        <f t="shared" si="16"/>
        <v>99.6666666666724</v>
      </c>
      <c r="H118" s="1051">
        <f t="shared" si="40"/>
        <v>84.9722222221971</v>
      </c>
      <c r="I118" s="1051">
        <f t="shared" si="40"/>
        <v>90.08333333341106</v>
      </c>
      <c r="J118" s="1051">
        <f t="shared" si="40"/>
        <v>93.27777777780409</v>
      </c>
      <c r="K118" s="1052">
        <f t="shared" si="40"/>
        <v>78.58333333340536</v>
      </c>
      <c r="L118" s="1052">
        <f t="shared" si="40"/>
        <v>83.69444444439462</v>
      </c>
      <c r="M118" s="1052">
        <f t="shared" si="40"/>
        <v>86.88888888879654</v>
      </c>
      <c r="N118" s="1053">
        <f t="shared" si="40"/>
        <v>57.5</v>
      </c>
      <c r="O118" s="1053">
        <f t="shared" si="40"/>
        <v>62.61111111119236</v>
      </c>
      <c r="P118" s="1053">
        <f t="shared" si="40"/>
        <v>65.80555555559798</v>
      </c>
      <c r="Q118" s="1054">
        <f t="shared" si="40"/>
        <v>54.30555555559058</v>
      </c>
      <c r="R118" s="1054">
        <f t="shared" si="40"/>
        <v>59.416666666608734</v>
      </c>
      <c r="S118" s="1054">
        <f t="shared" si="40"/>
        <v>62.61111111119236</v>
      </c>
      <c r="T118" s="1055">
        <f t="shared" si="39"/>
        <v>51.11111111117596</v>
      </c>
      <c r="U118" s="1055">
        <f t="shared" si="38"/>
        <v>56.22222222220401</v>
      </c>
      <c r="V118" s="1055">
        <f t="shared" si="38"/>
        <v>59.416666666608734</v>
      </c>
      <c r="W118" s="1056">
        <f t="shared" si="38"/>
        <v>47.91666666662284</v>
      </c>
      <c r="X118" s="1056">
        <f t="shared" si="38"/>
        <v>53.02777777779479</v>
      </c>
      <c r="Y118" s="1056">
        <f t="shared" si="38"/>
        <v>56.22222222220401</v>
      </c>
      <c r="Z118" s="1057">
        <f t="shared" si="38"/>
        <v>44.72222222220931</v>
      </c>
      <c r="AA118" s="1057">
        <f t="shared" si="38"/>
        <v>49.83333333338017</v>
      </c>
      <c r="AB118" s="1057">
        <f t="shared" si="38"/>
        <v>53.02777777779479</v>
      </c>
      <c r="AC118" s="1058">
        <f t="shared" si="38"/>
        <v>41.527777777788785</v>
      </c>
      <c r="AD118" s="1058">
        <f t="shared" si="38"/>
        <v>46.63888888883914</v>
      </c>
      <c r="AE118" s="1058">
        <f t="shared" si="35"/>
        <v>49.83333333338017</v>
      </c>
      <c r="AF118" s="1059">
        <f t="shared" si="35"/>
        <v>38.33333333335946</v>
      </c>
      <c r="AG118" s="1059">
        <f t="shared" si="35"/>
        <v>43.44444444442002</v>
      </c>
      <c r="AH118" s="1059">
        <f t="shared" si="35"/>
        <v>46.63888888883914</v>
      </c>
      <c r="AI118" s="1060">
        <f t="shared" si="35"/>
        <v>35.138888888870746</v>
      </c>
      <c r="AJ118" s="1060">
        <f t="shared" si="35"/>
        <v>40.25</v>
      </c>
      <c r="AK118" s="1060">
        <f t="shared" si="35"/>
        <v>43.44444444442002</v>
      </c>
    </row>
    <row r="119" spans="8:8" ht="15.75" customHeight="1">
      <c r="D119" s="1049">
        <f t="shared" si="17"/>
        <v>0.3222222222222408</v>
      </c>
      <c r="E119" s="1050">
        <f t="shared" si="15"/>
        <v>92.15555555556087</v>
      </c>
      <c r="F119" s="1050">
        <f t="shared" si="16"/>
        <v>97.31111111111672</v>
      </c>
      <c r="G119" s="1050">
        <f t="shared" si="16"/>
        <v>100.53333333333913</v>
      </c>
      <c r="H119" s="1051">
        <f t="shared" si="40"/>
        <v>85.71111111108601</v>
      </c>
      <c r="I119" s="1051">
        <f t="shared" si="40"/>
        <v>90.86666666674436</v>
      </c>
      <c r="J119" s="1051">
        <f t="shared" si="40"/>
        <v>94.08888888891518</v>
      </c>
      <c r="K119" s="1052">
        <f t="shared" si="40"/>
        <v>79.26666666673866</v>
      </c>
      <c r="L119" s="1052">
        <f t="shared" si="40"/>
        <v>84.42222222217242</v>
      </c>
      <c r="M119" s="1052">
        <f t="shared" si="40"/>
        <v>87.64444444435205</v>
      </c>
      <c r="N119" s="1053">
        <f t="shared" si="40"/>
        <v>58.0</v>
      </c>
      <c r="O119" s="1053">
        <f t="shared" si="40"/>
        <v>63.15555555563675</v>
      </c>
      <c r="P119" s="1053">
        <f t="shared" si="40"/>
        <v>66.37777777782017</v>
      </c>
      <c r="Q119" s="1054">
        <f t="shared" si="40"/>
        <v>54.77777777781278</v>
      </c>
      <c r="R119" s="1054">
        <f t="shared" si="40"/>
        <v>59.933333333275435</v>
      </c>
      <c r="S119" s="1054">
        <f t="shared" si="40"/>
        <v>63.15555555563675</v>
      </c>
      <c r="T119" s="1055">
        <f t="shared" si="39"/>
        <v>51.55555555562036</v>
      </c>
      <c r="U119" s="1055">
        <f t="shared" si="38"/>
        <v>56.71111111109291</v>
      </c>
      <c r="V119" s="1055">
        <f t="shared" si="38"/>
        <v>59.933333333275435</v>
      </c>
      <c r="W119" s="1056">
        <f t="shared" si="38"/>
        <v>48.33333333328954</v>
      </c>
      <c r="X119" s="1056">
        <f t="shared" si="38"/>
        <v>53.48888888890589</v>
      </c>
      <c r="Y119" s="1056">
        <f t="shared" si="38"/>
        <v>56.71111111109291</v>
      </c>
      <c r="Z119" s="1057">
        <f t="shared" si="38"/>
        <v>45.11111111109821</v>
      </c>
      <c r="AA119" s="1057">
        <f t="shared" si="38"/>
        <v>50.26666666671347</v>
      </c>
      <c r="AB119" s="1057">
        <f t="shared" si="38"/>
        <v>53.48888888890589</v>
      </c>
      <c r="AC119" s="1058">
        <f t="shared" si="38"/>
        <v>41.888888888899885</v>
      </c>
      <c r="AD119" s="1058">
        <f t="shared" si="38"/>
        <v>47.04444444439474</v>
      </c>
      <c r="AE119" s="1058">
        <f t="shared" si="35"/>
        <v>50.26666666671347</v>
      </c>
      <c r="AF119" s="1059">
        <f t="shared" si="35"/>
        <v>38.66666666669276</v>
      </c>
      <c r="AG119" s="1059">
        <f t="shared" si="35"/>
        <v>43.82222222219782</v>
      </c>
      <c r="AH119" s="1059">
        <f t="shared" si="35"/>
        <v>47.04444444439474</v>
      </c>
      <c r="AI119" s="1060">
        <f t="shared" si="35"/>
        <v>35.444444444426345</v>
      </c>
      <c r="AJ119" s="1060">
        <f t="shared" si="35"/>
        <v>40.6</v>
      </c>
      <c r="AK119" s="1060">
        <f t="shared" si="35"/>
        <v>43.82222222219782</v>
      </c>
    </row>
    <row r="120" spans="8:8" ht="15.75" customHeight="1">
      <c r="D120" s="1049">
        <f t="shared" si="17"/>
        <v>0.3250000000000188</v>
      </c>
      <c r="E120" s="1050">
        <f t="shared" si="15"/>
        <v>92.95000000000537</v>
      </c>
      <c r="F120" s="1050">
        <f t="shared" si="16"/>
        <v>98.15000000000568</v>
      </c>
      <c r="G120" s="1050">
        <f t="shared" si="16"/>
        <v>101.40000000000586</v>
      </c>
      <c r="H120" s="1051">
        <f t="shared" si="40"/>
        <v>86.4499999999749</v>
      </c>
      <c r="I120" s="1051">
        <f t="shared" si="40"/>
        <v>91.65000000007767</v>
      </c>
      <c r="J120" s="1051">
        <f t="shared" si="40"/>
        <v>94.90000000002628</v>
      </c>
      <c r="K120" s="1052">
        <f t="shared" si="40"/>
        <v>79.95000000007197</v>
      </c>
      <c r="L120" s="1052">
        <f t="shared" si="40"/>
        <v>85.14999999995023</v>
      </c>
      <c r="M120" s="1052">
        <f t="shared" si="40"/>
        <v>88.39999999990764</v>
      </c>
      <c r="N120" s="1053">
        <f t="shared" si="40"/>
        <v>58.5</v>
      </c>
      <c r="O120" s="1053">
        <f t="shared" si="40"/>
        <v>63.700000000081154</v>
      </c>
      <c r="P120" s="1053">
        <f t="shared" si="40"/>
        <v>66.95000000004238</v>
      </c>
      <c r="Q120" s="1054">
        <f t="shared" si="40"/>
        <v>55.25000000003498</v>
      </c>
      <c r="R120" s="1054">
        <f t="shared" si="40"/>
        <v>60.449999999942136</v>
      </c>
      <c r="S120" s="1054">
        <f t="shared" si="40"/>
        <v>63.700000000081154</v>
      </c>
      <c r="T120" s="1055">
        <f t="shared" si="39"/>
        <v>52.00000000006476</v>
      </c>
      <c r="U120" s="1055">
        <f t="shared" si="38"/>
        <v>57.19999999998181</v>
      </c>
      <c r="V120" s="1055">
        <f t="shared" si="38"/>
        <v>60.449999999942136</v>
      </c>
      <c r="W120" s="1056">
        <f t="shared" si="38"/>
        <v>48.74999999995624</v>
      </c>
      <c r="X120" s="1056">
        <f t="shared" si="38"/>
        <v>53.95000000001699</v>
      </c>
      <c r="Y120" s="1056">
        <f t="shared" si="38"/>
        <v>57.19999999998181</v>
      </c>
      <c r="Z120" s="1057">
        <f t="shared" si="38"/>
        <v>45.49999999998711</v>
      </c>
      <c r="AA120" s="1057">
        <f t="shared" si="38"/>
        <v>50.70000000004677</v>
      </c>
      <c r="AB120" s="1057">
        <f t="shared" si="38"/>
        <v>53.95000000001699</v>
      </c>
      <c r="AC120" s="1058">
        <f t="shared" si="38"/>
        <v>42.250000000010985</v>
      </c>
      <c r="AD120" s="1058">
        <f t="shared" si="38"/>
        <v>47.44999999995034</v>
      </c>
      <c r="AE120" s="1058">
        <f t="shared" si="35"/>
        <v>50.70000000004677</v>
      </c>
      <c r="AF120" s="1059">
        <f t="shared" si="35"/>
        <v>39.00000000002606</v>
      </c>
      <c r="AG120" s="1059">
        <f t="shared" si="35"/>
        <v>44.19999999997562</v>
      </c>
      <c r="AH120" s="1059">
        <f t="shared" si="35"/>
        <v>47.44999999995034</v>
      </c>
      <c r="AI120" s="1060">
        <f t="shared" si="35"/>
        <v>35.749999999981945</v>
      </c>
      <c r="AJ120" s="1060">
        <f t="shared" si="35"/>
        <v>40.949999999999996</v>
      </c>
      <c r="AK120" s="1060">
        <f t="shared" si="35"/>
        <v>44.19999999997562</v>
      </c>
    </row>
    <row r="121" spans="8:8" ht="15.75" customHeight="1">
      <c r="D121" s="1049">
        <f t="shared" si="17"/>
        <v>0.32777777777779676</v>
      </c>
      <c r="E121" s="1050">
        <f t="shared" si="15"/>
        <v>93.74444444444987</v>
      </c>
      <c r="F121" s="1050">
        <f t="shared" si="16"/>
        <v>98.98888888889462</v>
      </c>
      <c r="G121" s="1050">
        <f t="shared" si="16"/>
        <v>102.26666666667259</v>
      </c>
      <c r="H121" s="1051">
        <f t="shared" si="40"/>
        <v>87.1888888888638</v>
      </c>
      <c r="I121" s="1051">
        <f t="shared" si="40"/>
        <v>92.43333333341097</v>
      </c>
      <c r="J121" s="1051">
        <f t="shared" si="40"/>
        <v>95.71111111113738</v>
      </c>
      <c r="K121" s="1052">
        <f t="shared" si="40"/>
        <v>80.63333333340526</v>
      </c>
      <c r="L121" s="1052">
        <f t="shared" si="40"/>
        <v>85.87777777772803</v>
      </c>
      <c r="M121" s="1052">
        <f t="shared" si="40"/>
        <v>89.15555555546324</v>
      </c>
      <c r="N121" s="1053">
        <f t="shared" si="40"/>
        <v>59.0</v>
      </c>
      <c r="O121" s="1053">
        <f t="shared" si="40"/>
        <v>64.24444444452557</v>
      </c>
      <c r="P121" s="1053">
        <f t="shared" si="40"/>
        <v>67.52222222226457</v>
      </c>
      <c r="Q121" s="1054">
        <f t="shared" si="40"/>
        <v>55.72222222225718</v>
      </c>
      <c r="R121" s="1054">
        <f t="shared" si="40"/>
        <v>60.96666666660884</v>
      </c>
      <c r="S121" s="1054">
        <f t="shared" si="40"/>
        <v>64.24444444452557</v>
      </c>
      <c r="T121" s="1055">
        <f t="shared" si="39"/>
        <v>52.44444444450916</v>
      </c>
      <c r="U121" s="1055">
        <f t="shared" si="38"/>
        <v>57.688888888870714</v>
      </c>
      <c r="V121" s="1055">
        <f t="shared" si="38"/>
        <v>60.96666666660884</v>
      </c>
      <c r="W121" s="1056">
        <f t="shared" si="38"/>
        <v>49.16666666662294</v>
      </c>
      <c r="X121" s="1056">
        <f t="shared" si="38"/>
        <v>54.41111111112809</v>
      </c>
      <c r="Y121" s="1056">
        <f t="shared" si="38"/>
        <v>57.688888888870714</v>
      </c>
      <c r="Z121" s="1057">
        <f t="shared" si="38"/>
        <v>45.88888888887602</v>
      </c>
      <c r="AA121" s="1057">
        <f t="shared" si="38"/>
        <v>51.13333333338007</v>
      </c>
      <c r="AB121" s="1057">
        <f t="shared" si="38"/>
        <v>54.41111111112809</v>
      </c>
      <c r="AC121" s="1058">
        <f t="shared" si="38"/>
        <v>42.611111111122085</v>
      </c>
      <c r="AD121" s="1058">
        <f t="shared" si="38"/>
        <v>47.855555555505944</v>
      </c>
      <c r="AE121" s="1058">
        <f t="shared" si="35"/>
        <v>51.13333333338007</v>
      </c>
      <c r="AF121" s="1059">
        <f t="shared" si="35"/>
        <v>39.33333333335936</v>
      </c>
      <c r="AG121" s="1059">
        <f t="shared" si="35"/>
        <v>44.57777777775342</v>
      </c>
      <c r="AH121" s="1059">
        <f t="shared" si="35"/>
        <v>47.855555555505944</v>
      </c>
      <c r="AI121" s="1060">
        <f t="shared" si="35"/>
        <v>36.055555555537545</v>
      </c>
      <c r="AJ121" s="1060">
        <f t="shared" si="35"/>
        <v>41.3</v>
      </c>
      <c r="AK121" s="1060">
        <f t="shared" si="35"/>
        <v>44.57777777775342</v>
      </c>
    </row>
    <row r="122" spans="8:8" ht="15.75" customHeight="1">
      <c r="D122" s="1049">
        <f t="shared" si="17"/>
        <v>0.33055555555557475</v>
      </c>
      <c r="E122" s="1050">
        <f t="shared" si="15"/>
        <v>94.53888888889438</v>
      </c>
      <c r="F122" s="1050">
        <f t="shared" si="16"/>
        <v>99.82777777778358</v>
      </c>
      <c r="G122" s="1050">
        <f t="shared" si="16"/>
        <v>103.13333333333932</v>
      </c>
      <c r="H122" s="1051">
        <f t="shared" si="40"/>
        <v>87.92777777775271</v>
      </c>
      <c r="I122" s="1051">
        <f t="shared" si="40"/>
        <v>93.21666666674427</v>
      </c>
      <c r="J122" s="1051">
        <f t="shared" si="40"/>
        <v>96.52222222224849</v>
      </c>
      <c r="K122" s="1052">
        <f t="shared" si="40"/>
        <v>81.31666666673857</v>
      </c>
      <c r="L122" s="1052">
        <f t="shared" si="40"/>
        <v>86.60555555550583</v>
      </c>
      <c r="M122" s="1052">
        <f t="shared" si="40"/>
        <v>89.91111111101884</v>
      </c>
      <c r="N122" s="1053">
        <f t="shared" si="40"/>
        <v>59.5</v>
      </c>
      <c r="O122" s="1053">
        <f t="shared" si="40"/>
        <v>64.78888888896996</v>
      </c>
      <c r="P122" s="1053">
        <f t="shared" si="40"/>
        <v>68.09444444448678</v>
      </c>
      <c r="Q122" s="1054">
        <f t="shared" si="40"/>
        <v>56.19444444447938</v>
      </c>
      <c r="R122" s="1054">
        <f t="shared" si="40"/>
        <v>61.48333333327553</v>
      </c>
      <c r="S122" s="1054">
        <f t="shared" si="40"/>
        <v>64.78888888896996</v>
      </c>
      <c r="T122" s="1055">
        <f t="shared" si="39"/>
        <v>52.88888888895356</v>
      </c>
      <c r="U122" s="1055">
        <f t="shared" si="38"/>
        <v>58.177777777759616</v>
      </c>
      <c r="V122" s="1055">
        <f t="shared" si="38"/>
        <v>61.48333333327553</v>
      </c>
      <c r="W122" s="1056">
        <f t="shared" si="38"/>
        <v>49.58333333328964</v>
      </c>
      <c r="X122" s="1056">
        <f t="shared" si="38"/>
        <v>54.872222222239195</v>
      </c>
      <c r="Y122" s="1056">
        <f t="shared" si="38"/>
        <v>58.177777777759616</v>
      </c>
      <c r="Z122" s="1057">
        <f t="shared" si="38"/>
        <v>46.27777777776492</v>
      </c>
      <c r="AA122" s="1057">
        <f t="shared" si="38"/>
        <v>51.56666666671337</v>
      </c>
      <c r="AB122" s="1057">
        <f t="shared" si="38"/>
        <v>54.872222222239195</v>
      </c>
      <c r="AC122" s="1058">
        <f t="shared" si="38"/>
        <v>42.972222222233185</v>
      </c>
      <c r="AD122" s="1058">
        <f t="shared" si="38"/>
        <v>48.26111111106154</v>
      </c>
      <c r="AE122" s="1058">
        <f t="shared" si="35"/>
        <v>51.56666666671337</v>
      </c>
      <c r="AF122" s="1059">
        <f t="shared" si="35"/>
        <v>39.66666666669266</v>
      </c>
      <c r="AG122" s="1059">
        <f t="shared" si="35"/>
        <v>44.95555555553122</v>
      </c>
      <c r="AH122" s="1059">
        <f t="shared" si="35"/>
        <v>48.26111111106154</v>
      </c>
      <c r="AI122" s="1060">
        <f t="shared" si="35"/>
        <v>36.361111111093145</v>
      </c>
      <c r="AJ122" s="1060">
        <f t="shared" si="35"/>
        <v>41.65</v>
      </c>
      <c r="AK122" s="1060">
        <f t="shared" si="35"/>
        <v>44.95555555553122</v>
      </c>
    </row>
    <row r="123" spans="8:8" ht="15.75" customHeight="1">
      <c r="D123" s="1049">
        <f t="shared" si="17"/>
        <v>0.33333333333335274</v>
      </c>
      <c r="E123" s="1050">
        <f t="shared" si="15"/>
        <v>95.33333333333889</v>
      </c>
      <c r="F123" s="1050">
        <f t="shared" si="16"/>
        <v>100.66666666667253</v>
      </c>
      <c r="G123" s="1050">
        <f t="shared" si="16"/>
        <v>104.00000000000605</v>
      </c>
      <c r="H123" s="1051">
        <f t="shared" si="40"/>
        <v>88.6666666666416</v>
      </c>
      <c r="I123" s="1051">
        <f t="shared" si="40"/>
        <v>94.00000000007756</v>
      </c>
      <c r="J123" s="1051">
        <f t="shared" si="40"/>
        <v>97.33333333335958</v>
      </c>
      <c r="K123" s="1052">
        <f t="shared" si="40"/>
        <v>82.00000000007186</v>
      </c>
      <c r="L123" s="1052">
        <f t="shared" si="40"/>
        <v>87.33333333328362</v>
      </c>
      <c r="M123" s="1052">
        <f t="shared" si="40"/>
        <v>90.66666666657444</v>
      </c>
      <c r="N123" s="1053">
        <f t="shared" si="40"/>
        <v>60.0</v>
      </c>
      <c r="O123" s="1053">
        <f t="shared" si="40"/>
        <v>65.33333333341436</v>
      </c>
      <c r="P123" s="1053">
        <f t="shared" si="40"/>
        <v>68.66666666670898</v>
      </c>
      <c r="Q123" s="1054">
        <f t="shared" si="40"/>
        <v>56.66666666670158</v>
      </c>
      <c r="R123" s="1054">
        <f t="shared" si="40"/>
        <v>61.99999999994223</v>
      </c>
      <c r="S123" s="1054">
        <f t="shared" si="40"/>
        <v>65.33333333341436</v>
      </c>
      <c r="T123" s="1055">
        <f t="shared" si="39"/>
        <v>53.33333333339796</v>
      </c>
      <c r="U123" s="1055">
        <f t="shared" si="38"/>
        <v>58.66666666664851</v>
      </c>
      <c r="V123" s="1055">
        <f t="shared" si="38"/>
        <v>61.99999999994223</v>
      </c>
      <c r="W123" s="1056">
        <f t="shared" si="38"/>
        <v>49.99999999995634</v>
      </c>
      <c r="X123" s="1056">
        <f t="shared" si="38"/>
        <v>55.33333333335029</v>
      </c>
      <c r="Y123" s="1056">
        <f t="shared" si="38"/>
        <v>58.66666666664851</v>
      </c>
      <c r="Z123" s="1057">
        <f t="shared" si="38"/>
        <v>46.66666666665382</v>
      </c>
      <c r="AA123" s="1057">
        <f t="shared" si="38"/>
        <v>52.00000000004667</v>
      </c>
      <c r="AB123" s="1057">
        <f t="shared" si="38"/>
        <v>55.33333333335029</v>
      </c>
      <c r="AC123" s="1058">
        <f t="shared" si="38"/>
        <v>43.333333333344285</v>
      </c>
      <c r="AD123" s="1058">
        <f t="shared" si="38"/>
        <v>48.66666666661714</v>
      </c>
      <c r="AE123" s="1058">
        <f t="shared" si="35"/>
        <v>52.00000000004667</v>
      </c>
      <c r="AF123" s="1059">
        <f t="shared" si="35"/>
        <v>40.00000000002596</v>
      </c>
      <c r="AG123" s="1059">
        <f t="shared" si="35"/>
        <v>45.33333333330902</v>
      </c>
      <c r="AH123" s="1059">
        <f t="shared" si="35"/>
        <v>48.66666666661714</v>
      </c>
      <c r="AI123" s="1060">
        <f t="shared" si="35"/>
        <v>36.666666666648744</v>
      </c>
      <c r="AJ123" s="1060">
        <f t="shared" si="35"/>
        <v>42.0</v>
      </c>
      <c r="AK123" s="1060">
        <f t="shared" si="35"/>
        <v>45.33333333330902</v>
      </c>
    </row>
    <row r="124" spans="8:8" ht="15.75" customHeight="1">
      <c r="D124" s="1049">
        <f t="shared" si="17"/>
        <v>0.3361111111111308</v>
      </c>
      <c r="E124" s="1050">
        <f t="shared" si="15"/>
        <v>96.12777777778341</v>
      </c>
      <c r="F124" s="1050">
        <f t="shared" si="16"/>
        <v>101.5055555555615</v>
      </c>
      <c r="G124" s="1050">
        <f t="shared" si="16"/>
        <v>104.86666666667281</v>
      </c>
      <c r="H124" s="1051">
        <f t="shared" si="40"/>
        <v>89.40555555553051</v>
      </c>
      <c r="I124" s="1051">
        <f t="shared" si="40"/>
        <v>94.78333333341087</v>
      </c>
      <c r="J124" s="1051">
        <f t="shared" si="40"/>
        <v>98.14444444447068</v>
      </c>
      <c r="K124" s="1052">
        <f t="shared" si="40"/>
        <v>82.68333333340516</v>
      </c>
      <c r="L124" s="1052">
        <f t="shared" si="40"/>
        <v>88.06111111106142</v>
      </c>
      <c r="M124" s="1052">
        <f t="shared" si="40"/>
        <v>91.42222222212995</v>
      </c>
      <c r="N124" s="1053">
        <f t="shared" si="40"/>
        <v>60.5</v>
      </c>
      <c r="O124" s="1053">
        <f t="shared" si="40"/>
        <v>65.87777777785877</v>
      </c>
      <c r="P124" s="1053">
        <f t="shared" si="40"/>
        <v>69.23888888893117</v>
      </c>
      <c r="Q124" s="1054">
        <f t="shared" si="40"/>
        <v>57.13888888892378</v>
      </c>
      <c r="R124" s="1054">
        <f t="shared" si="40"/>
        <v>62.516666666608934</v>
      </c>
      <c r="S124" s="1054">
        <f t="shared" si="40"/>
        <v>65.87777777785877</v>
      </c>
      <c r="T124" s="1055">
        <f t="shared" si="39"/>
        <v>53.77777777784236</v>
      </c>
      <c r="U124" s="1055">
        <f t="shared" si="38"/>
        <v>59.15555555553741</v>
      </c>
      <c r="V124" s="1055">
        <f t="shared" si="38"/>
        <v>62.516666666608934</v>
      </c>
      <c r="W124" s="1056">
        <f t="shared" si="38"/>
        <v>50.41666666662304</v>
      </c>
      <c r="X124" s="1056">
        <f t="shared" si="38"/>
        <v>55.79444444446139</v>
      </c>
      <c r="Y124" s="1056">
        <f t="shared" si="38"/>
        <v>59.15555555553741</v>
      </c>
      <c r="Z124" s="1057">
        <f t="shared" si="38"/>
        <v>47.05555555554272</v>
      </c>
      <c r="AA124" s="1057">
        <f t="shared" si="38"/>
        <v>52.43333333337997</v>
      </c>
      <c r="AB124" s="1057">
        <f t="shared" si="38"/>
        <v>55.79444444446139</v>
      </c>
      <c r="AC124" s="1058">
        <f t="shared" si="38"/>
        <v>43.694444444455385</v>
      </c>
      <c r="AD124" s="1058">
        <f t="shared" si="38"/>
        <v>49.07222222217274</v>
      </c>
      <c r="AE124" s="1058">
        <f t="shared" si="35"/>
        <v>52.43333333337997</v>
      </c>
      <c r="AF124" s="1059">
        <f t="shared" si="35"/>
        <v>40.33333333335926</v>
      </c>
      <c r="AG124" s="1059">
        <f t="shared" si="35"/>
        <v>45.71111111108682</v>
      </c>
      <c r="AH124" s="1059">
        <f t="shared" si="35"/>
        <v>49.07222222217274</v>
      </c>
      <c r="AI124" s="1060">
        <f t="shared" si="35"/>
        <v>36.972222222204344</v>
      </c>
      <c r="AJ124" s="1060">
        <f t="shared" si="35"/>
        <v>42.35</v>
      </c>
      <c r="AK124" s="1060">
        <f t="shared" si="35"/>
        <v>45.71111111108682</v>
      </c>
    </row>
    <row r="125" spans="8:8" ht="15.75" customHeight="1">
      <c r="D125" s="1049">
        <f t="shared" si="17"/>
        <v>0.3388888888889088</v>
      </c>
      <c r="E125" s="1050">
        <f t="shared" si="15"/>
        <v>96.92222222222792</v>
      </c>
      <c r="F125" s="1050">
        <f t="shared" si="16"/>
        <v>102.34444444445045</v>
      </c>
      <c r="G125" s="1050">
        <f t="shared" si="16"/>
        <v>105.73333333333954</v>
      </c>
      <c r="H125" s="1051">
        <f t="shared" si="40"/>
        <v>90.1444444444194</v>
      </c>
      <c r="I125" s="1051">
        <f t="shared" si="40"/>
        <v>95.56666666674417</v>
      </c>
      <c r="J125" s="1051">
        <f t="shared" si="40"/>
        <v>98.95555555558178</v>
      </c>
      <c r="K125" s="1052">
        <f t="shared" si="40"/>
        <v>83.36666666673847</v>
      </c>
      <c r="L125" s="1052">
        <f t="shared" si="40"/>
        <v>88.78888888883922</v>
      </c>
      <c r="M125" s="1052">
        <f t="shared" si="40"/>
        <v>92.17777777768553</v>
      </c>
      <c r="N125" s="1053">
        <f t="shared" si="40"/>
        <v>61.0</v>
      </c>
      <c r="O125" s="1053">
        <f t="shared" si="40"/>
        <v>66.42222222230316</v>
      </c>
      <c r="P125" s="1053">
        <f t="shared" si="40"/>
        <v>69.81111111115338</v>
      </c>
      <c r="Q125" s="1054">
        <f t="shared" si="40"/>
        <v>57.61111111114598</v>
      </c>
      <c r="R125" s="1054">
        <f t="shared" si="40"/>
        <v>63.033333333275635</v>
      </c>
      <c r="S125" s="1054">
        <f t="shared" si="40"/>
        <v>66.42222222230316</v>
      </c>
      <c r="T125" s="1055">
        <f t="shared" si="39"/>
        <v>54.22222222228676</v>
      </c>
      <c r="U125" s="1055">
        <f t="shared" si="38"/>
        <v>59.64444444442631</v>
      </c>
      <c r="V125" s="1055">
        <f t="shared" si="38"/>
        <v>63.033333333275635</v>
      </c>
      <c r="W125" s="1056">
        <f t="shared" si="38"/>
        <v>50.83333333328974</v>
      </c>
      <c r="X125" s="1056">
        <f t="shared" si="38"/>
        <v>56.25555555557249</v>
      </c>
      <c r="Y125" s="1056">
        <f t="shared" si="38"/>
        <v>59.64444444442631</v>
      </c>
      <c r="Z125" s="1057">
        <f t="shared" si="38"/>
        <v>47.44444444443162</v>
      </c>
      <c r="AA125" s="1057">
        <f t="shared" si="38"/>
        <v>52.86666666671327</v>
      </c>
      <c r="AB125" s="1057">
        <f t="shared" si="38"/>
        <v>56.25555555557249</v>
      </c>
      <c r="AC125" s="1058">
        <f t="shared" si="38"/>
        <v>44.055555555566485</v>
      </c>
      <c r="AD125" s="1058">
        <f t="shared" si="38"/>
        <v>49.47777777772834</v>
      </c>
      <c r="AE125" s="1058">
        <f t="shared" si="35"/>
        <v>52.86666666671327</v>
      </c>
      <c r="AF125" s="1059">
        <f t="shared" si="35"/>
        <v>40.666666666692564</v>
      </c>
      <c r="AG125" s="1059">
        <f t="shared" si="35"/>
        <v>46.08888888886462</v>
      </c>
      <c r="AH125" s="1059">
        <f t="shared" si="35"/>
        <v>49.47777777772834</v>
      </c>
      <c r="AI125" s="1060">
        <f t="shared" si="35"/>
        <v>37.277777777759944</v>
      </c>
      <c r="AJ125" s="1060">
        <f t="shared" si="35"/>
        <v>42.699999999999996</v>
      </c>
      <c r="AK125" s="1060">
        <f t="shared" si="35"/>
        <v>46.08888888886462</v>
      </c>
    </row>
    <row r="126" spans="8:8" ht="15.75" customHeight="1">
      <c r="D126" s="1049">
        <f t="shared" si="17"/>
        <v>0.34166666666668677</v>
      </c>
      <c r="E126" s="1050">
        <f t="shared" si="15"/>
        <v>97.71666666667241</v>
      </c>
      <c r="F126" s="1050">
        <f t="shared" si="16"/>
        <v>103.1833333333394</v>
      </c>
      <c r="G126" s="1050">
        <f t="shared" si="16"/>
        <v>106.60000000000628</v>
      </c>
      <c r="H126" s="1051">
        <f t="shared" si="40"/>
        <v>90.8833333333083</v>
      </c>
      <c r="I126" s="1051">
        <f t="shared" si="40"/>
        <v>96.35000000007747</v>
      </c>
      <c r="J126" s="1051">
        <f t="shared" si="40"/>
        <v>99.76666666669288</v>
      </c>
      <c r="K126" s="1052">
        <f t="shared" si="40"/>
        <v>84.05000000007176</v>
      </c>
      <c r="L126" s="1052">
        <f t="shared" si="40"/>
        <v>89.51666666661703</v>
      </c>
      <c r="M126" s="1052">
        <f t="shared" si="40"/>
        <v>92.93333333324114</v>
      </c>
      <c r="N126" s="1053">
        <f t="shared" si="40"/>
        <v>61.5</v>
      </c>
      <c r="O126" s="1053">
        <f t="shared" si="40"/>
        <v>66.96666666674756</v>
      </c>
      <c r="P126" s="1053">
        <f t="shared" si="40"/>
        <v>70.38333333337557</v>
      </c>
      <c r="Q126" s="1054">
        <f t="shared" si="40"/>
        <v>58.08333333336818</v>
      </c>
      <c r="R126" s="1054">
        <f t="shared" si="40"/>
        <v>63.54999999994233</v>
      </c>
      <c r="S126" s="1054">
        <f t="shared" si="40"/>
        <v>66.96666666674756</v>
      </c>
      <c r="T126" s="1055">
        <f t="shared" si="39"/>
        <v>54.66666666673116</v>
      </c>
      <c r="U126" s="1055">
        <f t="shared" si="38"/>
        <v>60.133333333315214</v>
      </c>
      <c r="V126" s="1055">
        <f t="shared" si="38"/>
        <v>63.54999999994233</v>
      </c>
      <c r="W126" s="1056">
        <f t="shared" si="38"/>
        <v>51.24999999995644</v>
      </c>
      <c r="X126" s="1056">
        <f t="shared" si="38"/>
        <v>56.716666666683594</v>
      </c>
      <c r="Y126" s="1056">
        <f t="shared" si="38"/>
        <v>60.133333333315214</v>
      </c>
      <c r="Z126" s="1057">
        <f t="shared" si="38"/>
        <v>47.83333333332052</v>
      </c>
      <c r="AA126" s="1057">
        <f t="shared" si="38"/>
        <v>53.30000000004657</v>
      </c>
      <c r="AB126" s="1057">
        <f t="shared" si="38"/>
        <v>56.716666666683594</v>
      </c>
      <c r="AC126" s="1058">
        <f t="shared" si="38"/>
        <v>44.416666666677585</v>
      </c>
      <c r="AD126" s="1058">
        <f t="shared" si="38"/>
        <v>49.88333333328394</v>
      </c>
      <c r="AE126" s="1058">
        <f t="shared" si="35"/>
        <v>53.30000000004657</v>
      </c>
      <c r="AF126" s="1059">
        <f t="shared" si="35"/>
        <v>41.000000000025864</v>
      </c>
      <c r="AG126" s="1059">
        <f t="shared" si="35"/>
        <v>46.46666666664242</v>
      </c>
      <c r="AH126" s="1059">
        <f t="shared" si="35"/>
        <v>49.88333333328394</v>
      </c>
      <c r="AI126" s="1060">
        <f t="shared" si="35"/>
        <v>37.583333333315544</v>
      </c>
      <c r="AJ126" s="1060">
        <f t="shared" si="35"/>
        <v>43.05</v>
      </c>
      <c r="AK126" s="1060">
        <f t="shared" si="35"/>
        <v>46.46666666664242</v>
      </c>
    </row>
    <row r="127" spans="8:8" ht="15.75" customHeight="1">
      <c r="D127" s="1049">
        <f t="shared" si="17"/>
        <v>0.34444444444446476</v>
      </c>
      <c r="E127" s="1050">
        <f t="shared" si="15"/>
        <v>98.51111111111692</v>
      </c>
      <c r="F127" s="1050">
        <f t="shared" si="16"/>
        <v>104.02222222222835</v>
      </c>
      <c r="G127" s="1050">
        <f t="shared" si="16"/>
        <v>107.466666666673</v>
      </c>
      <c r="H127" s="1051">
        <f t="shared" si="40"/>
        <v>91.62222222219721</v>
      </c>
      <c r="I127" s="1051">
        <f t="shared" si="40"/>
        <v>97.13333333341077</v>
      </c>
      <c r="J127" s="1051">
        <f t="shared" si="40"/>
        <v>100.57777777780389</v>
      </c>
      <c r="K127" s="1052">
        <f t="shared" si="40"/>
        <v>84.73333333340506</v>
      </c>
      <c r="L127" s="1052">
        <f t="shared" si="40"/>
        <v>90.24444444439483</v>
      </c>
      <c r="M127" s="1052">
        <f t="shared" si="40"/>
        <v>93.68888888879674</v>
      </c>
      <c r="N127" s="1053">
        <f t="shared" si="40"/>
        <v>62.0</v>
      </c>
      <c r="O127" s="1053">
        <f t="shared" si="40"/>
        <v>67.51111111119197</v>
      </c>
      <c r="P127" s="1053">
        <f t="shared" si="40"/>
        <v>70.95555555559778</v>
      </c>
      <c r="Q127" s="1054">
        <f t="shared" si="40"/>
        <v>58.55555555559038</v>
      </c>
      <c r="R127" s="1054">
        <f t="shared" si="40"/>
        <v>64.06666666660904</v>
      </c>
      <c r="S127" s="1054">
        <f t="shared" si="40"/>
        <v>67.51111111119197</v>
      </c>
      <c r="T127" s="1055">
        <f t="shared" si="39"/>
        <v>55.11111111117556</v>
      </c>
      <c r="U127" s="1055">
        <f t="shared" si="38"/>
        <v>60.622222222204115</v>
      </c>
      <c r="V127" s="1055">
        <f t="shared" si="38"/>
        <v>64.06666666660904</v>
      </c>
      <c r="W127" s="1056">
        <f t="shared" si="38"/>
        <v>51.66666666662314</v>
      </c>
      <c r="X127" s="1056">
        <f t="shared" si="38"/>
        <v>57.17777777779469</v>
      </c>
      <c r="Y127" s="1056">
        <f t="shared" si="38"/>
        <v>60.622222222204115</v>
      </c>
      <c r="Z127" s="1057">
        <f t="shared" si="38"/>
        <v>48.22222222220942</v>
      </c>
      <c r="AA127" s="1057">
        <f t="shared" si="38"/>
        <v>53.73333333337987</v>
      </c>
      <c r="AB127" s="1057">
        <f t="shared" si="38"/>
        <v>57.17777777779469</v>
      </c>
      <c r="AC127" s="1058">
        <f t="shared" si="38"/>
        <v>44.777777777788685</v>
      </c>
      <c r="AD127" s="1058">
        <f t="shared" si="38"/>
        <v>50.288888888839544</v>
      </c>
      <c r="AE127" s="1058">
        <f t="shared" si="35"/>
        <v>53.73333333337987</v>
      </c>
      <c r="AF127" s="1059">
        <f t="shared" si="35"/>
        <v>41.333333333359164</v>
      </c>
      <c r="AG127" s="1059">
        <f t="shared" si="35"/>
        <v>46.84444444442022</v>
      </c>
      <c r="AH127" s="1059">
        <f t="shared" si="35"/>
        <v>50.288888888839544</v>
      </c>
      <c r="AI127" s="1060">
        <f t="shared" si="35"/>
        <v>37.88888888887114</v>
      </c>
      <c r="AJ127" s="1060">
        <f t="shared" si="35"/>
        <v>43.4</v>
      </c>
      <c r="AK127" s="1060">
        <f t="shared" si="35"/>
        <v>46.84444444442022</v>
      </c>
    </row>
    <row r="128" spans="8:8" ht="15.75" customHeight="1">
      <c r="D128" s="1049">
        <f t="shared" si="17"/>
        <v>0.34722222222224275</v>
      </c>
      <c r="E128" s="1050">
        <f t="shared" si="15"/>
        <v>99.30555555556143</v>
      </c>
      <c r="F128" s="1050">
        <f t="shared" si="16"/>
        <v>104.86111111111731</v>
      </c>
      <c r="G128" s="1050">
        <f t="shared" si="16"/>
        <v>108.33333333333974</v>
      </c>
      <c r="H128" s="1051">
        <f t="shared" si="40"/>
        <v>92.3611111110861</v>
      </c>
      <c r="I128" s="1051">
        <f t="shared" si="40"/>
        <v>97.91666666674406</v>
      </c>
      <c r="J128" s="1051">
        <f t="shared" si="40"/>
        <v>101.38888888891488</v>
      </c>
      <c r="K128" s="1052">
        <f t="shared" si="40"/>
        <v>85.41666666673837</v>
      </c>
      <c r="L128" s="1052">
        <f t="shared" si="40"/>
        <v>90.97222222217263</v>
      </c>
      <c r="M128" s="1052">
        <f t="shared" si="40"/>
        <v>94.44444444435234</v>
      </c>
      <c r="N128" s="1053">
        <f t="shared" si="40"/>
        <v>62.5</v>
      </c>
      <c r="O128" s="1053">
        <f t="shared" si="40"/>
        <v>68.05555555563636</v>
      </c>
      <c r="P128" s="1053">
        <f t="shared" si="40"/>
        <v>71.52777777781998</v>
      </c>
      <c r="Q128" s="1054">
        <f t="shared" si="40"/>
        <v>59.02777777781258</v>
      </c>
      <c r="R128" s="1054">
        <f t="shared" si="40"/>
        <v>64.58333333327573</v>
      </c>
      <c r="S128" s="1054">
        <f t="shared" si="40"/>
        <v>68.05555555563636</v>
      </c>
      <c r="T128" s="1055">
        <f t="shared" si="39"/>
        <v>55.555555555619954</v>
      </c>
      <c r="U128" s="1055">
        <f t="shared" si="38"/>
        <v>61.11111111109301</v>
      </c>
      <c r="V128" s="1055">
        <f t="shared" si="38"/>
        <v>64.58333333327573</v>
      </c>
      <c r="W128" s="1056">
        <f t="shared" si="38"/>
        <v>52.083333333289836</v>
      </c>
      <c r="X128" s="1056">
        <f t="shared" si="38"/>
        <v>57.63888888890579</v>
      </c>
      <c r="Y128" s="1056">
        <f t="shared" si="38"/>
        <v>61.11111111109301</v>
      </c>
      <c r="Z128" s="1057">
        <f t="shared" si="38"/>
        <v>48.61111111109832</v>
      </c>
      <c r="AA128" s="1057">
        <f t="shared" si="38"/>
        <v>54.16666666671317</v>
      </c>
      <c r="AB128" s="1057">
        <f t="shared" si="38"/>
        <v>57.63888888890579</v>
      </c>
      <c r="AC128" s="1058">
        <f t="shared" si="38"/>
        <v>45.138888888899785</v>
      </c>
      <c r="AD128" s="1058">
        <f t="shared" si="38"/>
        <v>50.69444444439514</v>
      </c>
      <c r="AE128" s="1058">
        <f t="shared" si="35"/>
        <v>54.16666666671317</v>
      </c>
      <c r="AF128" s="1059">
        <f t="shared" si="35"/>
        <v>41.666666666692464</v>
      </c>
      <c r="AG128" s="1059">
        <f t="shared" si="35"/>
        <v>47.22222222219802</v>
      </c>
      <c r="AH128" s="1059">
        <f t="shared" si="35"/>
        <v>50.69444444439514</v>
      </c>
      <c r="AI128" s="1060">
        <f t="shared" si="35"/>
        <v>38.19444444442674</v>
      </c>
      <c r="AJ128" s="1060">
        <f t="shared" si="35"/>
        <v>43.75</v>
      </c>
      <c r="AK128" s="1060">
        <f t="shared" si="35"/>
        <v>47.22222222219802</v>
      </c>
    </row>
    <row r="129" spans="8:8" ht="15.75" customHeight="1">
      <c r="D129" s="1049">
        <f t="shared" si="17"/>
        <v>0.3500000000000208</v>
      </c>
      <c r="E129" s="1050">
        <f t="shared" si="15"/>
        <v>100.10000000000595</v>
      </c>
      <c r="F129" s="1050">
        <f t="shared" si="16"/>
        <v>105.70000000000628</v>
      </c>
      <c r="G129" s="1050">
        <f t="shared" si="16"/>
        <v>109.20000000000648</v>
      </c>
      <c r="H129" s="1051">
        <f t="shared" si="40"/>
        <v>93.09999999997501</v>
      </c>
      <c r="I129" s="1051">
        <f t="shared" si="40"/>
        <v>98.70000000007737</v>
      </c>
      <c r="J129" s="1051">
        <f t="shared" si="40"/>
        <v>102.20000000002588</v>
      </c>
      <c r="K129" s="1052">
        <f t="shared" si="40"/>
        <v>86.10000000007166</v>
      </c>
      <c r="L129" s="1052">
        <f t="shared" si="40"/>
        <v>91.69999999995042</v>
      </c>
      <c r="M129" s="1052">
        <f t="shared" si="40"/>
        <v>95.19999999990794</v>
      </c>
      <c r="N129" s="1053">
        <f t="shared" si="40"/>
        <v>63.0</v>
      </c>
      <c r="O129" s="1053">
        <f t="shared" si="40"/>
        <v>68.60000000008077</v>
      </c>
      <c r="P129" s="1053">
        <f t="shared" si="40"/>
        <v>72.10000000004217</v>
      </c>
      <c r="Q129" s="1054">
        <f t="shared" si="40"/>
        <v>59.50000000003478</v>
      </c>
      <c r="R129" s="1054">
        <f t="shared" si="40"/>
        <v>65.09999999994244</v>
      </c>
      <c r="S129" s="1054">
        <f t="shared" si="40"/>
        <v>68.60000000008077</v>
      </c>
      <c r="T129" s="1055">
        <f t="shared" si="39"/>
        <v>56.000000000064354</v>
      </c>
      <c r="U129" s="1055">
        <f t="shared" si="38"/>
        <v>61.59999999998191</v>
      </c>
      <c r="V129" s="1055">
        <f t="shared" si="38"/>
        <v>65.09999999994244</v>
      </c>
      <c r="W129" s="1056">
        <f t="shared" si="38"/>
        <v>52.499999999956536</v>
      </c>
      <c r="X129" s="1056">
        <f t="shared" si="38"/>
        <v>58.10000000001689</v>
      </c>
      <c r="Y129" s="1056">
        <f t="shared" si="38"/>
        <v>61.59999999998191</v>
      </c>
      <c r="Z129" s="1057">
        <f t="shared" si="38"/>
        <v>48.99999999998722</v>
      </c>
      <c r="AA129" s="1057">
        <f t="shared" si="38"/>
        <v>54.60000000004647</v>
      </c>
      <c r="AB129" s="1057">
        <f t="shared" si="38"/>
        <v>58.10000000001689</v>
      </c>
      <c r="AC129" s="1058">
        <f t="shared" si="38"/>
        <v>45.500000000010886</v>
      </c>
      <c r="AD129" s="1058">
        <f t="shared" si="38"/>
        <v>51.09999999995074</v>
      </c>
      <c r="AE129" s="1058">
        <f t="shared" si="35"/>
        <v>54.60000000004647</v>
      </c>
      <c r="AF129" s="1059">
        <f t="shared" si="35"/>
        <v>42.000000000025764</v>
      </c>
      <c r="AG129" s="1059">
        <f t="shared" si="35"/>
        <v>47.59999999997582</v>
      </c>
      <c r="AH129" s="1059">
        <f t="shared" si="35"/>
        <v>51.09999999995074</v>
      </c>
      <c r="AI129" s="1060">
        <f t="shared" si="35"/>
        <v>38.49999999998234</v>
      </c>
      <c r="AJ129" s="1060">
        <f t="shared" si="35"/>
        <v>44.1</v>
      </c>
      <c r="AK129" s="1060">
        <f t="shared" si="35"/>
        <v>47.59999999997582</v>
      </c>
    </row>
    <row r="130" spans="8:8" ht="15.75" customHeight="1">
      <c r="D130" s="1049">
        <f t="shared" si="17"/>
        <v>0.3527777777777988</v>
      </c>
      <c r="E130" s="1050">
        <f t="shared" si="15"/>
        <v>100.89444444445046</v>
      </c>
      <c r="F130" s="1050">
        <f t="shared" si="16"/>
        <v>106.53888888889523</v>
      </c>
      <c r="G130" s="1050">
        <f t="shared" si="16"/>
        <v>110.06666666667321</v>
      </c>
      <c r="H130" s="1051">
        <f t="shared" si="40"/>
        <v>93.8388888888639</v>
      </c>
      <c r="I130" s="1051">
        <f t="shared" si="40"/>
        <v>99.48333333341067</v>
      </c>
      <c r="J130" s="1051">
        <f t="shared" si="40"/>
        <v>103.01111111113688</v>
      </c>
      <c r="K130" s="1052">
        <f t="shared" si="40"/>
        <v>86.78333333340497</v>
      </c>
      <c r="L130" s="1052">
        <f t="shared" si="40"/>
        <v>92.42777777772822</v>
      </c>
      <c r="M130" s="1052">
        <f t="shared" si="40"/>
        <v>95.95555555546353</v>
      </c>
      <c r="N130" s="1053">
        <f t="shared" si="40"/>
        <v>63.5</v>
      </c>
      <c r="O130" s="1053">
        <f t="shared" si="40"/>
        <v>69.14444444452516</v>
      </c>
      <c r="P130" s="1053">
        <f t="shared" si="40"/>
        <v>72.67222222226438</v>
      </c>
      <c r="Q130" s="1054">
        <f t="shared" si="40"/>
        <v>59.97222222225698</v>
      </c>
      <c r="R130" s="1054">
        <f t="shared" si="40"/>
        <v>65.61666666660913</v>
      </c>
      <c r="S130" s="1054">
        <f t="shared" si="40"/>
        <v>69.14444444452516</v>
      </c>
      <c r="T130" s="1055">
        <f t="shared" si="39"/>
        <v>56.444444444508754</v>
      </c>
      <c r="U130" s="1055">
        <f t="shared" si="38"/>
        <v>62.08888888887081</v>
      </c>
      <c r="V130" s="1055">
        <f t="shared" si="38"/>
        <v>65.61666666660913</v>
      </c>
      <c r="W130" s="1056">
        <f t="shared" si="38"/>
        <v>52.916666666623236</v>
      </c>
      <c r="X130" s="1056">
        <f t="shared" si="38"/>
        <v>58.56111111112799</v>
      </c>
      <c r="Y130" s="1056">
        <f t="shared" si="38"/>
        <v>62.08888888887081</v>
      </c>
      <c r="Z130" s="1057">
        <f t="shared" si="38"/>
        <v>49.38888888887612</v>
      </c>
      <c r="AA130" s="1057">
        <f t="shared" si="38"/>
        <v>55.03333333337977</v>
      </c>
      <c r="AB130" s="1057">
        <f t="shared" si="38"/>
        <v>58.56111111112799</v>
      </c>
      <c r="AC130" s="1058">
        <f t="shared" si="38"/>
        <v>45.861111111121986</v>
      </c>
      <c r="AD130" s="1058">
        <f t="shared" si="38"/>
        <v>51.50555555550634</v>
      </c>
      <c r="AE130" s="1058">
        <f t="shared" si="35"/>
        <v>55.03333333337977</v>
      </c>
      <c r="AF130" s="1059">
        <f t="shared" si="35"/>
        <v>42.333333333359064</v>
      </c>
      <c r="AG130" s="1059">
        <f t="shared" si="35"/>
        <v>47.97777777775362</v>
      </c>
      <c r="AH130" s="1059">
        <f t="shared" si="35"/>
        <v>51.50555555550634</v>
      </c>
      <c r="AI130" s="1060">
        <f t="shared" si="35"/>
        <v>38.80555555553794</v>
      </c>
      <c r="AJ130" s="1060">
        <f t="shared" si="35"/>
        <v>44.449999999999996</v>
      </c>
      <c r="AK130" s="1060">
        <f t="shared" si="35"/>
        <v>47.97777777775362</v>
      </c>
    </row>
    <row r="131" spans="8:8" ht="15.75" customHeight="1">
      <c r="D131" s="1049">
        <f t="shared" si="17"/>
        <v>0.3555555555555768</v>
      </c>
      <c r="E131" s="1050">
        <f t="shared" si="41" ref="E131:E194">E$363*D131</f>
        <v>101.68888888889495</v>
      </c>
      <c r="F131" s="1050">
        <f t="shared" si="42" ref="F131:G194">F$363*$D131</f>
        <v>107.37777777778419</v>
      </c>
      <c r="G131" s="1050">
        <f t="shared" si="42"/>
        <v>110.93333333333996</v>
      </c>
      <c r="H131" s="1051">
        <f t="shared" si="40"/>
        <v>94.5777777777528</v>
      </c>
      <c r="I131" s="1051">
        <f t="shared" si="40"/>
        <v>100.26666666674367</v>
      </c>
      <c r="J131" s="1051">
        <f t="shared" si="40"/>
        <v>103.82222222224789</v>
      </c>
      <c r="K131" s="1052">
        <f t="shared" si="40"/>
        <v>87.46666666673826</v>
      </c>
      <c r="L131" s="1052">
        <f t="shared" si="40"/>
        <v>93.15555555550603</v>
      </c>
      <c r="M131" s="1052">
        <f t="shared" si="40"/>
        <v>96.71111111101914</v>
      </c>
      <c r="N131" s="1053">
        <f t="shared" si="40"/>
        <v>64.0</v>
      </c>
      <c r="O131" s="1053">
        <f t="shared" si="40"/>
        <v>69.68888888896956</v>
      </c>
      <c r="P131" s="1053">
        <f t="shared" si="40"/>
        <v>73.24444444448658</v>
      </c>
      <c r="Q131" s="1054">
        <f t="shared" si="40"/>
        <v>60.44444444447918</v>
      </c>
      <c r="R131" s="1054">
        <f t="shared" si="40"/>
        <v>66.13333333327583</v>
      </c>
      <c r="S131" s="1054">
        <f t="shared" si="40"/>
        <v>69.68888888896956</v>
      </c>
      <c r="T131" s="1055">
        <f t="shared" si="39"/>
        <v>56.888888888953154</v>
      </c>
      <c r="U131" s="1055">
        <f t="shared" si="38"/>
        <v>62.577777777759714</v>
      </c>
      <c r="V131" s="1055">
        <f t="shared" si="38"/>
        <v>66.13333333327583</v>
      </c>
      <c r="W131" s="1056">
        <f t="shared" si="38"/>
        <v>53.333333333289936</v>
      </c>
      <c r="X131" s="1056">
        <f t="shared" si="38"/>
        <v>59.022222222239094</v>
      </c>
      <c r="Y131" s="1056">
        <f t="shared" si="38"/>
        <v>62.577777777759714</v>
      </c>
      <c r="Z131" s="1057">
        <f t="shared" si="38"/>
        <v>49.77777777776502</v>
      </c>
      <c r="AA131" s="1057">
        <f t="shared" si="38"/>
        <v>55.46666666671307</v>
      </c>
      <c r="AB131" s="1057">
        <f t="shared" si="38"/>
        <v>59.022222222239094</v>
      </c>
      <c r="AC131" s="1058">
        <f t="shared" si="38"/>
        <v>46.222222222233086</v>
      </c>
      <c r="AD131" s="1058">
        <f t="shared" si="38"/>
        <v>51.91111111106194</v>
      </c>
      <c r="AE131" s="1058">
        <f t="shared" si="35"/>
        <v>55.46666666671307</v>
      </c>
      <c r="AF131" s="1059">
        <f t="shared" si="35"/>
        <v>42.666666666692365</v>
      </c>
      <c r="AG131" s="1059">
        <f t="shared" si="35"/>
        <v>48.35555555553142</v>
      </c>
      <c r="AH131" s="1059">
        <f t="shared" si="35"/>
        <v>51.91111111106194</v>
      </c>
      <c r="AI131" s="1060">
        <f t="shared" si="35"/>
        <v>39.11111111109354</v>
      </c>
      <c r="AJ131" s="1060">
        <f t="shared" si="35"/>
        <v>44.8</v>
      </c>
      <c r="AK131" s="1060">
        <f t="shared" si="35"/>
        <v>48.35555555553142</v>
      </c>
    </row>
    <row r="132" spans="8:8" ht="15.75" customHeight="1">
      <c r="D132" s="1049">
        <f t="shared" si="17"/>
        <v>0.35833333333335476</v>
      </c>
      <c r="E132" s="1050">
        <f t="shared" si="41"/>
        <v>102.48333333333946</v>
      </c>
      <c r="F132" s="1050">
        <f t="shared" si="42"/>
        <v>108.21666666667313</v>
      </c>
      <c r="G132" s="1050">
        <f t="shared" si="42"/>
        <v>111.80000000000669</v>
      </c>
      <c r="H132" s="1051">
        <f t="shared" si="40"/>
        <v>95.31666666664171</v>
      </c>
      <c r="I132" s="1051">
        <f t="shared" si="40"/>
        <v>101.05000000007666</v>
      </c>
      <c r="J132" s="1051">
        <f t="shared" si="40"/>
        <v>104.63333333335888</v>
      </c>
      <c r="K132" s="1052">
        <f t="shared" si="40"/>
        <v>88.15000000007156</v>
      </c>
      <c r="L132" s="1052">
        <f t="shared" si="40"/>
        <v>93.88333333328383</v>
      </c>
      <c r="M132" s="1052">
        <f t="shared" si="40"/>
        <v>97.46666666657474</v>
      </c>
      <c r="N132" s="1053">
        <f t="shared" si="40"/>
        <v>64.5</v>
      </c>
      <c r="O132" s="1053">
        <f t="shared" si="40"/>
        <v>70.23333333341397</v>
      </c>
      <c r="P132" s="1053">
        <f t="shared" si="40"/>
        <v>73.81666666670878</v>
      </c>
      <c r="Q132" s="1054">
        <f t="shared" si="40"/>
        <v>60.91666666670138</v>
      </c>
      <c r="R132" s="1054">
        <f t="shared" si="40"/>
        <v>66.64999999994254</v>
      </c>
      <c r="S132" s="1054">
        <f t="shared" si="40"/>
        <v>70.23333333341397</v>
      </c>
      <c r="T132" s="1055">
        <f t="shared" si="39"/>
        <v>57.333333333397555</v>
      </c>
      <c r="U132" s="1055">
        <f t="shared" si="38"/>
        <v>63.066666666648615</v>
      </c>
      <c r="V132" s="1055">
        <f t="shared" si="38"/>
        <v>66.64999999994254</v>
      </c>
      <c r="W132" s="1056">
        <f t="shared" si="38"/>
        <v>53.749999999956636</v>
      </c>
      <c r="X132" s="1056">
        <f t="shared" si="38"/>
        <v>59.48333333335019</v>
      </c>
      <c r="Y132" s="1056">
        <f t="shared" si="38"/>
        <v>63.066666666648615</v>
      </c>
      <c r="Z132" s="1057">
        <f t="shared" si="43" ref="Z132:AD163">Z133-(Z$363/360)</f>
        <v>50.16666666665392</v>
      </c>
      <c r="AA132" s="1057">
        <f t="shared" si="43"/>
        <v>55.90000000004637</v>
      </c>
      <c r="AB132" s="1057">
        <f t="shared" si="43"/>
        <v>59.48333333335019</v>
      </c>
      <c r="AC132" s="1058">
        <f t="shared" si="43"/>
        <v>46.583333333344186</v>
      </c>
      <c r="AD132" s="1058">
        <f t="shared" si="43"/>
        <v>52.31666666661754</v>
      </c>
      <c r="AE132" s="1058">
        <f t="shared" si="35"/>
        <v>55.90000000004637</v>
      </c>
      <c r="AF132" s="1059">
        <f t="shared" si="35"/>
        <v>43.000000000025665</v>
      </c>
      <c r="AG132" s="1059">
        <f t="shared" si="35"/>
        <v>48.73333333330922</v>
      </c>
      <c r="AH132" s="1059">
        <f t="shared" si="35"/>
        <v>52.31666666661754</v>
      </c>
      <c r="AI132" s="1060">
        <f t="shared" si="35"/>
        <v>39.41666666664914</v>
      </c>
      <c r="AJ132" s="1060">
        <f t="shared" si="35"/>
        <v>45.15</v>
      </c>
      <c r="AK132" s="1060">
        <f t="shared" si="35"/>
        <v>48.73333333330922</v>
      </c>
    </row>
    <row r="133" spans="8:8" ht="15.75" customHeight="1">
      <c r="D133" s="1049">
        <f t="shared" si="44" ref="D133:D196">D132+0.2/72</f>
        <v>0.36111111111113275</v>
      </c>
      <c r="E133" s="1050">
        <f t="shared" si="41"/>
        <v>103.27777777778397</v>
      </c>
      <c r="F133" s="1050">
        <f t="shared" si="42"/>
        <v>109.0555555555621</v>
      </c>
      <c r="G133" s="1050">
        <f t="shared" si="42"/>
        <v>112.66666666667342</v>
      </c>
      <c r="H133" s="1051">
        <f t="shared" si="45" ref="H133:S149">H134-(H$363/360)</f>
        <v>96.0555555555306</v>
      </c>
      <c r="I133" s="1051">
        <f t="shared" si="45"/>
        <v>101.83333333340967</v>
      </c>
      <c r="J133" s="1051">
        <f t="shared" si="45"/>
        <v>105.44444444446988</v>
      </c>
      <c r="K133" s="1052">
        <f t="shared" si="45"/>
        <v>88.83333333340487</v>
      </c>
      <c r="L133" s="1052">
        <f t="shared" si="45"/>
        <v>94.61111111106163</v>
      </c>
      <c r="M133" s="1052">
        <f t="shared" si="45"/>
        <v>98.22222222213034</v>
      </c>
      <c r="N133" s="1053">
        <f t="shared" si="45"/>
        <v>65.0</v>
      </c>
      <c r="O133" s="1053">
        <f t="shared" si="45"/>
        <v>70.77777777785836</v>
      </c>
      <c r="P133" s="1053">
        <f t="shared" si="45"/>
        <v>74.38888888893098</v>
      </c>
      <c r="Q133" s="1054">
        <f t="shared" si="45"/>
        <v>61.38888888892358</v>
      </c>
      <c r="R133" s="1054">
        <f t="shared" si="45"/>
        <v>67.16666666660923</v>
      </c>
      <c r="S133" s="1054">
        <f t="shared" si="45"/>
        <v>70.77777777785836</v>
      </c>
      <c r="T133" s="1055">
        <f t="shared" si="39"/>
        <v>57.777777777841955</v>
      </c>
      <c r="U133" s="1055">
        <f t="shared" si="46" ref="U133:U168">U134-(U$363/360)</f>
        <v>63.55555555553752</v>
      </c>
      <c r="V133" s="1055">
        <f t="shared" si="47" ref="V133:V168">V134-(V$363/360)</f>
        <v>67.16666666660923</v>
      </c>
      <c r="W133" s="1056">
        <f t="shared" si="48" ref="W133:W168">W134-(W$363/360)</f>
        <v>54.166666666623335</v>
      </c>
      <c r="X133" s="1056">
        <f t="shared" si="49" ref="X133:X168">X134-(X$363/360)</f>
        <v>59.94444444446129</v>
      </c>
      <c r="Y133" s="1056">
        <f t="shared" si="50" ref="Y133:Y168">Y134-(Y$363/360)</f>
        <v>63.55555555553752</v>
      </c>
      <c r="Z133" s="1057">
        <f t="shared" si="43"/>
        <v>50.55555555554282</v>
      </c>
      <c r="AA133" s="1057">
        <f t="shared" si="43"/>
        <v>56.33333333337967</v>
      </c>
      <c r="AB133" s="1057">
        <f t="shared" si="43"/>
        <v>59.94444444446129</v>
      </c>
      <c r="AC133" s="1058">
        <f t="shared" si="43"/>
        <v>46.944444444455286</v>
      </c>
      <c r="AD133" s="1058">
        <f t="shared" si="43"/>
        <v>52.722222222173144</v>
      </c>
      <c r="AE133" s="1058">
        <f t="shared" si="35"/>
        <v>56.33333333337967</v>
      </c>
      <c r="AF133" s="1059">
        <f t="shared" si="35"/>
        <v>43.333333333358965</v>
      </c>
      <c r="AG133" s="1059">
        <f t="shared" si="35"/>
        <v>49.11111111108702</v>
      </c>
      <c r="AH133" s="1059">
        <f t="shared" si="35"/>
        <v>52.722222222173144</v>
      </c>
      <c r="AI133" s="1060">
        <f t="shared" si="35"/>
        <v>39.72222222220474</v>
      </c>
      <c r="AJ133" s="1060">
        <f t="shared" si="35"/>
        <v>45.5</v>
      </c>
      <c r="AK133" s="1060">
        <f t="shared" si="35"/>
        <v>49.11111111108702</v>
      </c>
    </row>
    <row r="134" spans="8:8" ht="15.75" customHeight="1">
      <c r="D134" s="1049">
        <f t="shared" si="44"/>
        <v>0.36388888888891074</v>
      </c>
      <c r="E134" s="1050">
        <f t="shared" si="41"/>
        <v>104.07222222222848</v>
      </c>
      <c r="F134" s="1050">
        <f t="shared" si="42"/>
        <v>109.89444444445104</v>
      </c>
      <c r="G134" s="1050">
        <f t="shared" si="42"/>
        <v>113.53333333334015</v>
      </c>
      <c r="H134" s="1051">
        <f t="shared" si="45"/>
        <v>96.79444444441951</v>
      </c>
      <c r="I134" s="1051">
        <f t="shared" si="45"/>
        <v>102.61666666674267</v>
      </c>
      <c r="J134" s="1051">
        <f t="shared" si="45"/>
        <v>106.25555555558088</v>
      </c>
      <c r="K134" s="1052">
        <f t="shared" si="45"/>
        <v>89.51666666673816</v>
      </c>
      <c r="L134" s="1052">
        <f t="shared" si="45"/>
        <v>95.33888888883942</v>
      </c>
      <c r="M134" s="1052">
        <f t="shared" si="45"/>
        <v>98.97777777768594</v>
      </c>
      <c r="N134" s="1053">
        <f t="shared" si="45"/>
        <v>65.5</v>
      </c>
      <c r="O134" s="1053">
        <f t="shared" si="45"/>
        <v>71.32222222230276</v>
      </c>
      <c r="P134" s="1053">
        <f t="shared" si="45"/>
        <v>74.96111111115317</v>
      </c>
      <c r="Q134" s="1054">
        <f t="shared" si="45"/>
        <v>61.86111111114578</v>
      </c>
      <c r="R134" s="1054">
        <f t="shared" si="45"/>
        <v>67.68333333327594</v>
      </c>
      <c r="S134" s="1054">
        <f t="shared" si="45"/>
        <v>71.32222222230276</v>
      </c>
      <c r="T134" s="1055">
        <f t="shared" si="39"/>
        <v>58.222222222286355</v>
      </c>
      <c r="U134" s="1055">
        <f t="shared" si="46"/>
        <v>64.0444444444264</v>
      </c>
      <c r="V134" s="1055">
        <f t="shared" si="47"/>
        <v>67.68333333327594</v>
      </c>
      <c r="W134" s="1056">
        <f t="shared" si="48"/>
        <v>54.583333333290035</v>
      </c>
      <c r="X134" s="1056">
        <f t="shared" si="49"/>
        <v>60.40555555557239</v>
      </c>
      <c r="Y134" s="1056">
        <f t="shared" si="50"/>
        <v>64.0444444444264</v>
      </c>
      <c r="Z134" s="1057">
        <f t="shared" si="43"/>
        <v>50.94444444443172</v>
      </c>
      <c r="AA134" s="1057">
        <f t="shared" si="43"/>
        <v>56.76666666671297</v>
      </c>
      <c r="AB134" s="1057">
        <f t="shared" si="43"/>
        <v>60.40555555557239</v>
      </c>
      <c r="AC134" s="1058">
        <f t="shared" si="43"/>
        <v>47.305555555566386</v>
      </c>
      <c r="AD134" s="1058">
        <f t="shared" si="43"/>
        <v>53.12777777772874</v>
      </c>
      <c r="AE134" s="1058">
        <f t="shared" si="35"/>
        <v>56.76666666671297</v>
      </c>
      <c r="AF134" s="1059">
        <f t="shared" si="35"/>
        <v>43.666666666692265</v>
      </c>
      <c r="AG134" s="1059">
        <f t="shared" si="35"/>
        <v>49.48888888886482</v>
      </c>
      <c r="AH134" s="1059">
        <f t="shared" si="35"/>
        <v>53.12777777772874</v>
      </c>
      <c r="AI134" s="1060">
        <f t="shared" si="35"/>
        <v>40.02777777776034</v>
      </c>
      <c r="AJ134" s="1060">
        <f t="shared" si="35"/>
        <v>45.85</v>
      </c>
      <c r="AK134" s="1060">
        <f t="shared" si="35"/>
        <v>49.48888888886482</v>
      </c>
    </row>
    <row r="135" spans="8:8" ht="15.75" customHeight="1">
      <c r="D135" s="1049">
        <f t="shared" si="44"/>
        <v>0.3666666666666888</v>
      </c>
      <c r="E135" s="1050">
        <f t="shared" si="41"/>
        <v>104.866666666673</v>
      </c>
      <c r="F135" s="1050">
        <f t="shared" si="42"/>
        <v>110.73333333334001</v>
      </c>
      <c r="G135" s="1050">
        <f t="shared" si="42"/>
        <v>114.4000000000069</v>
      </c>
      <c r="H135" s="1051">
        <f t="shared" si="45"/>
        <v>97.5333333333084</v>
      </c>
      <c r="I135" s="1051">
        <f t="shared" si="45"/>
        <v>103.40000000007566</v>
      </c>
      <c r="J135" s="1051">
        <f t="shared" si="45"/>
        <v>107.06666666669189</v>
      </c>
      <c r="K135" s="1052">
        <f t="shared" si="45"/>
        <v>90.20000000007147</v>
      </c>
      <c r="L135" s="1052">
        <f t="shared" si="45"/>
        <v>96.06666666661722</v>
      </c>
      <c r="M135" s="1052">
        <f t="shared" si="45"/>
        <v>99.73333333324145</v>
      </c>
      <c r="N135" s="1053">
        <f t="shared" si="45"/>
        <v>66.0</v>
      </c>
      <c r="O135" s="1053">
        <f t="shared" si="45"/>
        <v>71.86666666674716</v>
      </c>
      <c r="P135" s="1053">
        <f t="shared" si="45"/>
        <v>75.53333333337538</v>
      </c>
      <c r="Q135" s="1054">
        <f t="shared" si="45"/>
        <v>62.33333333336798</v>
      </c>
      <c r="R135" s="1054">
        <f t="shared" si="45"/>
        <v>68.19999999994263</v>
      </c>
      <c r="S135" s="1054">
        <f t="shared" si="45"/>
        <v>71.86666666674716</v>
      </c>
      <c r="T135" s="1055">
        <f t="shared" si="39"/>
        <v>58.666666666730755</v>
      </c>
      <c r="U135" s="1055">
        <f t="shared" si="46"/>
        <v>64.53333333331531</v>
      </c>
      <c r="V135" s="1055">
        <f t="shared" si="47"/>
        <v>68.19999999994263</v>
      </c>
      <c r="W135" s="1056">
        <f t="shared" si="48"/>
        <v>54.999999999956735</v>
      </c>
      <c r="X135" s="1056">
        <f t="shared" si="49"/>
        <v>60.86666666668349</v>
      </c>
      <c r="Y135" s="1056">
        <f t="shared" si="50"/>
        <v>64.53333333331531</v>
      </c>
      <c r="Z135" s="1057">
        <f t="shared" si="43"/>
        <v>51.33333333332062</v>
      </c>
      <c r="AA135" s="1057">
        <f t="shared" si="43"/>
        <v>57.20000000004627</v>
      </c>
      <c r="AB135" s="1057">
        <f t="shared" si="43"/>
        <v>60.86666666668349</v>
      </c>
      <c r="AC135" s="1058">
        <f t="shared" si="43"/>
        <v>47.666666666677486</v>
      </c>
      <c r="AD135" s="1058">
        <f t="shared" si="43"/>
        <v>53.53333333328434</v>
      </c>
      <c r="AE135" s="1058">
        <f t="shared" si="35"/>
        <v>57.20000000004627</v>
      </c>
      <c r="AF135" s="1059">
        <f t="shared" si="35"/>
        <v>44.000000000025565</v>
      </c>
      <c r="AG135" s="1059">
        <f t="shared" si="35"/>
        <v>49.86666666664262</v>
      </c>
      <c r="AH135" s="1059">
        <f t="shared" si="35"/>
        <v>53.53333333328434</v>
      </c>
      <c r="AI135" s="1060">
        <f t="shared" si="35"/>
        <v>40.33333333331594</v>
      </c>
      <c r="AJ135" s="1060">
        <f t="shared" si="35"/>
        <v>46.199999999999996</v>
      </c>
      <c r="AK135" s="1060">
        <f t="shared" si="35"/>
        <v>49.86666666664262</v>
      </c>
    </row>
    <row r="136" spans="8:8" ht="15.75" customHeight="1">
      <c r="D136" s="1049">
        <f t="shared" si="44"/>
        <v>0.3694444444444668</v>
      </c>
      <c r="E136" s="1050">
        <f t="shared" si="41"/>
        <v>105.66111111111749</v>
      </c>
      <c r="F136" s="1050">
        <f t="shared" si="42"/>
        <v>111.57222222222897</v>
      </c>
      <c r="G136" s="1050">
        <f t="shared" si="42"/>
        <v>115.26666666667363</v>
      </c>
      <c r="H136" s="1051">
        <f t="shared" si="51" ref="H136:Q155">H137-(H$363/360)</f>
        <v>98.2722222221973</v>
      </c>
      <c r="I136" s="1051">
        <f t="shared" si="51"/>
        <v>104.18333333340867</v>
      </c>
      <c r="J136" s="1051">
        <f t="shared" si="51"/>
        <v>107.87777777780288</v>
      </c>
      <c r="K136" s="1052">
        <f t="shared" si="51"/>
        <v>90.88333333340476</v>
      </c>
      <c r="L136" s="1052">
        <f t="shared" si="51"/>
        <v>96.79444444439503</v>
      </c>
      <c r="M136" s="1052">
        <f t="shared" si="51"/>
        <v>100.48888888879743</v>
      </c>
      <c r="N136" s="1053">
        <f t="shared" si="51"/>
        <v>66.5</v>
      </c>
      <c r="O136" s="1053">
        <f t="shared" si="51"/>
        <v>72.41111111119156</v>
      </c>
      <c r="P136" s="1053">
        <f t="shared" si="51"/>
        <v>76.10555555559758</v>
      </c>
      <c r="Q136" s="1054">
        <f t="shared" si="51"/>
        <v>62.80555555559018</v>
      </c>
      <c r="R136" s="1054">
        <f t="shared" si="45"/>
        <v>68.71666666660933</v>
      </c>
      <c r="S136" s="1054">
        <f t="shared" si="45"/>
        <v>72.41111111119156</v>
      </c>
      <c r="T136" s="1055">
        <f t="shared" si="39"/>
        <v>59.111111111175155</v>
      </c>
      <c r="U136" s="1055">
        <f t="shared" si="46"/>
        <v>65.0222222222042</v>
      </c>
      <c r="V136" s="1055">
        <f t="shared" si="47"/>
        <v>68.71666666660933</v>
      </c>
      <c r="W136" s="1056">
        <f t="shared" si="48"/>
        <v>55.416666666623435</v>
      </c>
      <c r="X136" s="1056">
        <f t="shared" si="49"/>
        <v>61.327777777794594</v>
      </c>
      <c r="Y136" s="1056">
        <f t="shared" si="50"/>
        <v>65.0222222222042</v>
      </c>
      <c r="Z136" s="1057">
        <f t="shared" si="43"/>
        <v>51.72222222220952</v>
      </c>
      <c r="AA136" s="1057">
        <f t="shared" si="43"/>
        <v>57.63333333337957</v>
      </c>
      <c r="AB136" s="1057">
        <f t="shared" si="43"/>
        <v>61.327777777794594</v>
      </c>
      <c r="AC136" s="1058">
        <f t="shared" si="43"/>
        <v>48.027777777788586</v>
      </c>
      <c r="AD136" s="1058">
        <f t="shared" si="43"/>
        <v>53.93888888883994</v>
      </c>
      <c r="AE136" s="1058">
        <f t="shared" si="35"/>
        <v>57.63333333337957</v>
      </c>
      <c r="AF136" s="1059">
        <f t="shared" si="35"/>
        <v>44.333333333358866</v>
      </c>
      <c r="AG136" s="1059">
        <f t="shared" si="35"/>
        <v>50.24444444442042</v>
      </c>
      <c r="AH136" s="1059">
        <f t="shared" si="35"/>
        <v>53.93888888883994</v>
      </c>
      <c r="AI136" s="1060">
        <f t="shared" si="35"/>
        <v>40.63888888887154</v>
      </c>
      <c r="AJ136" s="1060">
        <f t="shared" si="35"/>
        <v>46.55</v>
      </c>
      <c r="AK136" s="1060">
        <f t="shared" si="35"/>
        <v>50.24444444442042</v>
      </c>
    </row>
    <row r="137" spans="8:8" ht="15.75" customHeight="1">
      <c r="D137" s="1049">
        <f t="shared" si="44"/>
        <v>0.37222222222224477</v>
      </c>
      <c r="E137" s="1050">
        <f t="shared" si="41"/>
        <v>106.455555555562</v>
      </c>
      <c r="F137" s="1050">
        <f t="shared" si="42"/>
        <v>112.41111111111792</v>
      </c>
      <c r="G137" s="1050">
        <f t="shared" si="42"/>
        <v>116.13333333334037</v>
      </c>
      <c r="H137" s="1051">
        <f t="shared" si="51"/>
        <v>99.01111111108621</v>
      </c>
      <c r="I137" s="1051">
        <f t="shared" si="51"/>
        <v>104.96666666674167</v>
      </c>
      <c r="J137" s="1051">
        <f t="shared" si="51"/>
        <v>108.68888888891388</v>
      </c>
      <c r="K137" s="1052">
        <f t="shared" si="51"/>
        <v>91.56666666673806</v>
      </c>
      <c r="L137" s="1052">
        <f t="shared" si="51"/>
        <v>97.52222222217283</v>
      </c>
      <c r="M137" s="1052">
        <f t="shared" si="51"/>
        <v>101.24444444435343</v>
      </c>
      <c r="N137" s="1053">
        <f t="shared" si="51"/>
        <v>67.0</v>
      </c>
      <c r="O137" s="1053">
        <f t="shared" si="51"/>
        <v>72.95555555563597</v>
      </c>
      <c r="P137" s="1053">
        <f t="shared" si="51"/>
        <v>76.67777777781977</v>
      </c>
      <c r="Q137" s="1054">
        <f t="shared" si="51"/>
        <v>63.27777777781238</v>
      </c>
      <c r="R137" s="1054">
        <f t="shared" si="45"/>
        <v>69.23333333327604</v>
      </c>
      <c r="S137" s="1054">
        <f t="shared" si="45"/>
        <v>72.95555555563597</v>
      </c>
      <c r="T137" s="1055">
        <f t="shared" si="39"/>
        <v>59.555555555619556</v>
      </c>
      <c r="U137" s="1055">
        <f t="shared" si="46"/>
        <v>65.5111111110931</v>
      </c>
      <c r="V137" s="1055">
        <f t="shared" si="47"/>
        <v>69.23333333327604</v>
      </c>
      <c r="W137" s="1056">
        <f t="shared" si="48"/>
        <v>55.833333333290135</v>
      </c>
      <c r="X137" s="1056">
        <f t="shared" si="49"/>
        <v>61.78888888890569</v>
      </c>
      <c r="Y137" s="1056">
        <f t="shared" si="50"/>
        <v>65.5111111110931</v>
      </c>
      <c r="Z137" s="1057">
        <f t="shared" si="43"/>
        <v>52.11111111109842</v>
      </c>
      <c r="AA137" s="1057">
        <f t="shared" si="43"/>
        <v>58.06666666671287</v>
      </c>
      <c r="AB137" s="1057">
        <f t="shared" si="43"/>
        <v>61.78888888890569</v>
      </c>
      <c r="AC137" s="1058">
        <f t="shared" si="43"/>
        <v>48.388888888899686</v>
      </c>
      <c r="AD137" s="1058">
        <f t="shared" si="43"/>
        <v>54.34444444439554</v>
      </c>
      <c r="AE137" s="1058">
        <f t="shared" si="35"/>
        <v>58.06666666671287</v>
      </c>
      <c r="AF137" s="1059">
        <f t="shared" si="35"/>
        <v>44.666666666692166</v>
      </c>
      <c r="AG137" s="1059">
        <f t="shared" si="35"/>
        <v>50.62222222219822</v>
      </c>
      <c r="AH137" s="1059">
        <f t="shared" si="35"/>
        <v>54.34444444439554</v>
      </c>
      <c r="AI137" s="1060">
        <f t="shared" si="35"/>
        <v>40.94444444442714</v>
      </c>
      <c r="AJ137" s="1060">
        <f t="shared" si="35"/>
        <v>46.9</v>
      </c>
      <c r="AK137" s="1060">
        <f t="shared" si="35"/>
        <v>50.62222222219822</v>
      </c>
    </row>
    <row r="138" spans="8:8" ht="15.75" customHeight="1">
      <c r="D138" s="1049">
        <f t="shared" si="44"/>
        <v>0.37500000000002276</v>
      </c>
      <c r="E138" s="1050">
        <f t="shared" si="41"/>
        <v>107.25000000000651</v>
      </c>
      <c r="F138" s="1050">
        <f t="shared" si="42"/>
        <v>113.25000000000688</v>
      </c>
      <c r="G138" s="1050">
        <f t="shared" si="42"/>
        <v>117.0000000000071</v>
      </c>
      <c r="H138" s="1051">
        <f t="shared" si="51"/>
        <v>99.7499999999751</v>
      </c>
      <c r="I138" s="1051">
        <f t="shared" si="51"/>
        <v>105.75000000007466</v>
      </c>
      <c r="J138" s="1051">
        <f t="shared" si="51"/>
        <v>109.50000000002488</v>
      </c>
      <c r="K138" s="1052">
        <f t="shared" si="51"/>
        <v>92.25000000007137</v>
      </c>
      <c r="L138" s="1052">
        <f t="shared" si="51"/>
        <v>98.24999999995063</v>
      </c>
      <c r="M138" s="1052">
        <f t="shared" si="51"/>
        <v>101.99999999990943</v>
      </c>
      <c r="N138" s="1053">
        <f t="shared" si="51"/>
        <v>67.5</v>
      </c>
      <c r="O138" s="1053">
        <f t="shared" si="51"/>
        <v>73.50000000008036</v>
      </c>
      <c r="P138" s="1053">
        <f t="shared" si="51"/>
        <v>77.25000000004198</v>
      </c>
      <c r="Q138" s="1054">
        <f t="shared" si="51"/>
        <v>63.75000000003458</v>
      </c>
      <c r="R138" s="1054">
        <f t="shared" si="45"/>
        <v>69.74999999994273</v>
      </c>
      <c r="S138" s="1054">
        <f t="shared" si="45"/>
        <v>73.50000000008036</v>
      </c>
      <c r="T138" s="1055">
        <f t="shared" si="39"/>
        <v>60.000000000063956</v>
      </c>
      <c r="U138" s="1055">
        <f t="shared" si="46"/>
        <v>65.99999999998201</v>
      </c>
      <c r="V138" s="1055">
        <f t="shared" si="47"/>
        <v>69.74999999994273</v>
      </c>
      <c r="W138" s="1056">
        <f t="shared" si="48"/>
        <v>56.249999999956835</v>
      </c>
      <c r="X138" s="1056">
        <f t="shared" si="49"/>
        <v>62.25000000001679</v>
      </c>
      <c r="Y138" s="1056">
        <f t="shared" si="50"/>
        <v>65.99999999998201</v>
      </c>
      <c r="Z138" s="1057">
        <f t="shared" si="43"/>
        <v>52.49999999998732</v>
      </c>
      <c r="AA138" s="1057">
        <f t="shared" si="43"/>
        <v>58.50000000004617</v>
      </c>
      <c r="AB138" s="1057">
        <f t="shared" si="43"/>
        <v>62.25000000001679</v>
      </c>
      <c r="AC138" s="1058">
        <f t="shared" si="43"/>
        <v>48.750000000010786</v>
      </c>
      <c r="AD138" s="1058">
        <f t="shared" si="43"/>
        <v>54.74999999995114</v>
      </c>
      <c r="AE138" s="1058">
        <f t="shared" si="52" ref="AE138:AK174">AE139-(AE$363/360)</f>
        <v>58.50000000004617</v>
      </c>
      <c r="AF138" s="1059">
        <f t="shared" si="35"/>
        <v>45.000000000025466</v>
      </c>
      <c r="AG138" s="1059">
        <f t="shared" si="52"/>
        <v>50.99999999997602</v>
      </c>
      <c r="AH138" s="1059">
        <f t="shared" si="52"/>
        <v>54.74999999995114</v>
      </c>
      <c r="AI138" s="1060">
        <f t="shared" si="52"/>
        <v>41.24999999998274</v>
      </c>
      <c r="AJ138" s="1060">
        <f t="shared" si="52"/>
        <v>47.25</v>
      </c>
      <c r="AK138" s="1060">
        <f t="shared" si="52"/>
        <v>50.99999999997602</v>
      </c>
    </row>
    <row r="139" spans="8:8" ht="15.75" customHeight="1">
      <c r="D139" s="1049">
        <f t="shared" si="44"/>
        <v>0.37777777777780075</v>
      </c>
      <c r="E139" s="1050">
        <f t="shared" si="41"/>
        <v>108.04444444445102</v>
      </c>
      <c r="F139" s="1050">
        <f t="shared" si="42"/>
        <v>114.08888888889582</v>
      </c>
      <c r="G139" s="1050">
        <f t="shared" si="42"/>
        <v>117.86666666667384</v>
      </c>
      <c r="H139" s="1051">
        <f t="shared" si="51"/>
        <v>100.48888888886411</v>
      </c>
      <c r="I139" s="1051">
        <f t="shared" si="51"/>
        <v>106.53333333340767</v>
      </c>
      <c r="J139" s="1051">
        <f t="shared" si="51"/>
        <v>110.31111111113589</v>
      </c>
      <c r="K139" s="1052">
        <f t="shared" si="51"/>
        <v>92.93333333340466</v>
      </c>
      <c r="L139" s="1052">
        <f t="shared" si="51"/>
        <v>98.97777777772842</v>
      </c>
      <c r="M139" s="1052">
        <f t="shared" si="51"/>
        <v>102.75555555546543</v>
      </c>
      <c r="N139" s="1053">
        <f t="shared" si="51"/>
        <v>68.0</v>
      </c>
      <c r="O139" s="1053">
        <f t="shared" si="51"/>
        <v>74.04444444452476</v>
      </c>
      <c r="P139" s="1053">
        <f t="shared" si="51"/>
        <v>77.82222222226417</v>
      </c>
      <c r="Q139" s="1054">
        <f t="shared" si="51"/>
        <v>64.22222222225678</v>
      </c>
      <c r="R139" s="1054">
        <f t="shared" si="45"/>
        <v>70.26666666660944</v>
      </c>
      <c r="S139" s="1054">
        <f t="shared" si="45"/>
        <v>74.04444444452476</v>
      </c>
      <c r="T139" s="1055">
        <f t="shared" si="39"/>
        <v>60.444444444508356</v>
      </c>
      <c r="U139" s="1055">
        <f t="shared" si="46"/>
        <v>66.4888888888709</v>
      </c>
      <c r="V139" s="1055">
        <f t="shared" si="47"/>
        <v>70.26666666660944</v>
      </c>
      <c r="W139" s="1056">
        <f t="shared" si="48"/>
        <v>56.666666666623534</v>
      </c>
      <c r="X139" s="1056">
        <f t="shared" si="49"/>
        <v>62.71111111112789</v>
      </c>
      <c r="Y139" s="1056">
        <f t="shared" si="50"/>
        <v>66.4888888888709</v>
      </c>
      <c r="Z139" s="1057">
        <f t="shared" si="43"/>
        <v>52.88888888887622</v>
      </c>
      <c r="AA139" s="1057">
        <f t="shared" si="43"/>
        <v>58.93333333337947</v>
      </c>
      <c r="AB139" s="1057">
        <f t="shared" si="43"/>
        <v>62.71111111112789</v>
      </c>
      <c r="AC139" s="1058">
        <f t="shared" si="43"/>
        <v>49.111111111121886</v>
      </c>
      <c r="AD139" s="1058">
        <f t="shared" si="43"/>
        <v>55.155555555506744</v>
      </c>
      <c r="AE139" s="1058">
        <f t="shared" si="52"/>
        <v>58.93333333337947</v>
      </c>
      <c r="AF139" s="1059">
        <f t="shared" si="52"/>
        <v>45.333333333358766</v>
      </c>
      <c r="AG139" s="1059">
        <f t="shared" si="52"/>
        <v>51.37777777775382</v>
      </c>
      <c r="AH139" s="1059">
        <f t="shared" si="52"/>
        <v>55.155555555506744</v>
      </c>
      <c r="AI139" s="1060">
        <f t="shared" si="52"/>
        <v>41.55555555553834</v>
      </c>
      <c r="AJ139" s="1060">
        <f t="shared" si="52"/>
        <v>47.6</v>
      </c>
      <c r="AK139" s="1060">
        <f t="shared" si="52"/>
        <v>51.37777777775382</v>
      </c>
    </row>
    <row r="140" spans="8:8" ht="15.75" customHeight="1">
      <c r="D140" s="1049">
        <f t="shared" si="44"/>
        <v>0.3805555555555788</v>
      </c>
      <c r="E140" s="1050">
        <f t="shared" si="41"/>
        <v>108.83888888889554</v>
      </c>
      <c r="F140" s="1050">
        <f t="shared" si="42"/>
        <v>114.9277777777848</v>
      </c>
      <c r="G140" s="1050">
        <f t="shared" si="42"/>
        <v>118.73333333334058</v>
      </c>
      <c r="H140" s="1051">
        <f t="shared" si="51"/>
        <v>101.2277777777531</v>
      </c>
      <c r="I140" s="1051">
        <f t="shared" si="51"/>
        <v>107.31666666674067</v>
      </c>
      <c r="J140" s="1051">
        <f t="shared" si="51"/>
        <v>111.12222222224688</v>
      </c>
      <c r="K140" s="1052">
        <f t="shared" si="51"/>
        <v>93.61666666673796</v>
      </c>
      <c r="L140" s="1052">
        <f t="shared" si="51"/>
        <v>99.70555555550622</v>
      </c>
      <c r="M140" s="1052">
        <f t="shared" si="51"/>
        <v>103.51111111102144</v>
      </c>
      <c r="N140" s="1053">
        <f t="shared" si="51"/>
        <v>68.5</v>
      </c>
      <c r="O140" s="1053">
        <f t="shared" si="51"/>
        <v>74.58888888896917</v>
      </c>
      <c r="P140" s="1053">
        <f t="shared" si="51"/>
        <v>78.39444444448638</v>
      </c>
      <c r="Q140" s="1054">
        <f t="shared" si="51"/>
        <v>64.69444444447898</v>
      </c>
      <c r="R140" s="1054">
        <f t="shared" si="45"/>
        <v>70.78333333327613</v>
      </c>
      <c r="S140" s="1054">
        <f t="shared" si="45"/>
        <v>74.58888888896917</v>
      </c>
      <c r="T140" s="1055">
        <f t="shared" si="39"/>
        <v>60.888888888952756</v>
      </c>
      <c r="U140" s="1055">
        <f t="shared" si="46"/>
        <v>66.97777777775981</v>
      </c>
      <c r="V140" s="1055">
        <f t="shared" si="47"/>
        <v>70.78333333327613</v>
      </c>
      <c r="W140" s="1056">
        <f t="shared" si="48"/>
        <v>57.083333333290234</v>
      </c>
      <c r="X140" s="1056">
        <f t="shared" si="49"/>
        <v>63.17222222223899</v>
      </c>
      <c r="Y140" s="1056">
        <f t="shared" si="50"/>
        <v>66.97777777775981</v>
      </c>
      <c r="Z140" s="1057">
        <f t="shared" si="43"/>
        <v>53.27777777776512</v>
      </c>
      <c r="AA140" s="1057">
        <f t="shared" si="43"/>
        <v>59.36666666671277</v>
      </c>
      <c r="AB140" s="1057">
        <f t="shared" si="43"/>
        <v>63.17222222223899</v>
      </c>
      <c r="AC140" s="1058">
        <f t="shared" si="43"/>
        <v>49.472222222232986</v>
      </c>
      <c r="AD140" s="1058">
        <f t="shared" si="43"/>
        <v>55.56111111106234</v>
      </c>
      <c r="AE140" s="1058">
        <f t="shared" si="52"/>
        <v>59.36666666671277</v>
      </c>
      <c r="AF140" s="1059">
        <f t="shared" si="52"/>
        <v>45.666666666692066</v>
      </c>
      <c r="AG140" s="1059">
        <f t="shared" si="52"/>
        <v>51.75555555553162</v>
      </c>
      <c r="AH140" s="1059">
        <f t="shared" si="52"/>
        <v>55.56111111106234</v>
      </c>
      <c r="AI140" s="1060">
        <f t="shared" si="52"/>
        <v>41.86111111109394</v>
      </c>
      <c r="AJ140" s="1060">
        <f t="shared" si="52"/>
        <v>47.949999999999996</v>
      </c>
      <c r="AK140" s="1060">
        <f t="shared" si="52"/>
        <v>51.75555555553162</v>
      </c>
    </row>
    <row r="141" spans="8:8" ht="15.75" customHeight="1">
      <c r="D141" s="1049">
        <f t="shared" si="44"/>
        <v>0.3833333333333568</v>
      </c>
      <c r="E141" s="1050">
        <f t="shared" si="41"/>
        <v>109.63333333334005</v>
      </c>
      <c r="F141" s="1050">
        <f t="shared" si="42"/>
        <v>115.76666666667374</v>
      </c>
      <c r="G141" s="1050">
        <f t="shared" si="42"/>
        <v>119.60000000000731</v>
      </c>
      <c r="H141" s="1051">
        <f t="shared" si="51"/>
        <v>101.96666666664211</v>
      </c>
      <c r="I141" s="1051">
        <f t="shared" si="51"/>
        <v>108.10000000007366</v>
      </c>
      <c r="J141" s="1051">
        <f t="shared" si="51"/>
        <v>111.93333333335788</v>
      </c>
      <c r="K141" s="1052">
        <f t="shared" si="51"/>
        <v>94.30000000007126</v>
      </c>
      <c r="L141" s="1052">
        <f t="shared" si="51"/>
        <v>100.43333333328422</v>
      </c>
      <c r="M141" s="1052">
        <f t="shared" si="51"/>
        <v>104.26666666657744</v>
      </c>
      <c r="N141" s="1053">
        <f t="shared" si="51"/>
        <v>69.0</v>
      </c>
      <c r="O141" s="1053">
        <f t="shared" si="51"/>
        <v>75.13333333341356</v>
      </c>
      <c r="P141" s="1053">
        <f t="shared" si="51"/>
        <v>78.96666666670858</v>
      </c>
      <c r="Q141" s="1054">
        <f t="shared" si="51"/>
        <v>65.16666666670118</v>
      </c>
      <c r="R141" s="1054">
        <f t="shared" si="45"/>
        <v>71.29999999994284</v>
      </c>
      <c r="S141" s="1054">
        <f t="shared" si="45"/>
        <v>75.13333333341356</v>
      </c>
      <c r="T141" s="1055">
        <f t="shared" si="39"/>
        <v>61.33333333339716</v>
      </c>
      <c r="U141" s="1055">
        <f t="shared" si="46"/>
        <v>67.4666666666487</v>
      </c>
      <c r="V141" s="1055">
        <f t="shared" si="47"/>
        <v>71.29999999994284</v>
      </c>
      <c r="W141" s="1056">
        <f t="shared" si="48"/>
        <v>57.499999999956934</v>
      </c>
      <c r="X141" s="1056">
        <f t="shared" si="49"/>
        <v>63.633333333350095</v>
      </c>
      <c r="Y141" s="1056">
        <f t="shared" si="50"/>
        <v>67.4666666666487</v>
      </c>
      <c r="Z141" s="1057">
        <f t="shared" si="43"/>
        <v>53.66666666665402</v>
      </c>
      <c r="AA141" s="1057">
        <f t="shared" si="43"/>
        <v>59.80000000004607</v>
      </c>
      <c r="AB141" s="1057">
        <f t="shared" si="43"/>
        <v>63.633333333350095</v>
      </c>
      <c r="AC141" s="1058">
        <f t="shared" si="43"/>
        <v>49.833333333344086</v>
      </c>
      <c r="AD141" s="1058">
        <f t="shared" si="43"/>
        <v>55.96666666661794</v>
      </c>
      <c r="AE141" s="1058">
        <f t="shared" si="52"/>
        <v>59.80000000004607</v>
      </c>
      <c r="AF141" s="1059">
        <f t="shared" si="52"/>
        <v>46.000000000025366</v>
      </c>
      <c r="AG141" s="1059">
        <f t="shared" si="52"/>
        <v>52.13333333330942</v>
      </c>
      <c r="AH141" s="1059">
        <f t="shared" si="52"/>
        <v>55.96666666661794</v>
      </c>
      <c r="AI141" s="1060">
        <f t="shared" si="52"/>
        <v>42.16666666664954</v>
      </c>
      <c r="AJ141" s="1060">
        <f t="shared" si="52"/>
        <v>48.3</v>
      </c>
      <c r="AK141" s="1060">
        <f t="shared" si="52"/>
        <v>52.13333333330942</v>
      </c>
    </row>
    <row r="142" spans="8:8" ht="15.75" customHeight="1">
      <c r="D142" s="1049">
        <f t="shared" si="44"/>
        <v>0.3861111111111348</v>
      </c>
      <c r="E142" s="1050">
        <f t="shared" si="41"/>
        <v>110.42777777778454</v>
      </c>
      <c r="F142" s="1050">
        <f t="shared" si="42"/>
        <v>116.6055555555627</v>
      </c>
      <c r="G142" s="1050">
        <f t="shared" si="42"/>
        <v>120.46666666667404</v>
      </c>
      <c r="H142" s="1051">
        <f t="shared" si="51"/>
        <v>102.7055555555311</v>
      </c>
      <c r="I142" s="1051">
        <f t="shared" si="51"/>
        <v>108.88333333340667</v>
      </c>
      <c r="J142" s="1051">
        <f t="shared" si="51"/>
        <v>112.74444444446888</v>
      </c>
      <c r="K142" s="1052">
        <f t="shared" si="51"/>
        <v>94.98333333340456</v>
      </c>
      <c r="L142" s="1052">
        <f t="shared" si="51"/>
        <v>101.16111111106223</v>
      </c>
      <c r="M142" s="1052">
        <f t="shared" si="51"/>
        <v>105.02222222213344</v>
      </c>
      <c r="N142" s="1053">
        <f t="shared" si="51"/>
        <v>69.5</v>
      </c>
      <c r="O142" s="1053">
        <f t="shared" si="51"/>
        <v>75.67777777785797</v>
      </c>
      <c r="P142" s="1053">
        <f t="shared" si="51"/>
        <v>79.53888888893077</v>
      </c>
      <c r="Q142" s="1054">
        <f t="shared" si="51"/>
        <v>65.63888888892338</v>
      </c>
      <c r="R142" s="1054">
        <f t="shared" si="45"/>
        <v>71.81666666660954</v>
      </c>
      <c r="S142" s="1054">
        <f t="shared" si="45"/>
        <v>75.67777777785797</v>
      </c>
      <c r="T142" s="1055">
        <f t="shared" si="39"/>
        <v>61.77777777784156</v>
      </c>
      <c r="U142" s="1055">
        <f t="shared" si="46"/>
        <v>67.9555555555376</v>
      </c>
      <c r="V142" s="1055">
        <f t="shared" si="47"/>
        <v>71.81666666660954</v>
      </c>
      <c r="W142" s="1056">
        <f t="shared" si="48"/>
        <v>57.916666666623634</v>
      </c>
      <c r="X142" s="1056">
        <f t="shared" si="49"/>
        <v>64.09444444446119</v>
      </c>
      <c r="Y142" s="1056">
        <f t="shared" si="50"/>
        <v>67.9555555555376</v>
      </c>
      <c r="Z142" s="1057">
        <f t="shared" si="43"/>
        <v>54.05555555554292</v>
      </c>
      <c r="AA142" s="1057">
        <f t="shared" si="43"/>
        <v>60.23333333337937</v>
      </c>
      <c r="AB142" s="1057">
        <f t="shared" si="43"/>
        <v>64.09444444446119</v>
      </c>
      <c r="AC142" s="1058">
        <f t="shared" si="43"/>
        <v>50.194444444455186</v>
      </c>
      <c r="AD142" s="1058">
        <f t="shared" si="43"/>
        <v>56.37222222217354</v>
      </c>
      <c r="AE142" s="1058">
        <f t="shared" si="52"/>
        <v>60.23333333337937</v>
      </c>
      <c r="AF142" s="1059">
        <f t="shared" si="52"/>
        <v>46.33333333335867</v>
      </c>
      <c r="AG142" s="1059">
        <f t="shared" si="52"/>
        <v>52.51111111108722</v>
      </c>
      <c r="AH142" s="1059">
        <f t="shared" si="52"/>
        <v>56.37222222217354</v>
      </c>
      <c r="AI142" s="1060">
        <f t="shared" si="52"/>
        <v>42.47222222220514</v>
      </c>
      <c r="AJ142" s="1060">
        <f t="shared" si="52"/>
        <v>48.65</v>
      </c>
      <c r="AK142" s="1060">
        <f t="shared" si="52"/>
        <v>52.51111111108722</v>
      </c>
    </row>
    <row r="143" spans="8:8" ht="15.75" customHeight="1">
      <c r="D143" s="1049">
        <f t="shared" si="44"/>
        <v>0.38888888888891276</v>
      </c>
      <c r="E143" s="1050">
        <f t="shared" si="41"/>
        <v>111.22222222222905</v>
      </c>
      <c r="F143" s="1050">
        <f t="shared" si="42"/>
        <v>117.44444444445166</v>
      </c>
      <c r="G143" s="1050">
        <f t="shared" si="42"/>
        <v>121.33333333334079</v>
      </c>
      <c r="H143" s="1051">
        <f t="shared" si="51"/>
        <v>103.4444444444201</v>
      </c>
      <c r="I143" s="1051">
        <f t="shared" si="51"/>
        <v>109.66666666673967</v>
      </c>
      <c r="J143" s="1051">
        <f t="shared" si="51"/>
        <v>113.55555555557989</v>
      </c>
      <c r="K143" s="1052">
        <f t="shared" si="51"/>
        <v>95.66666666673787</v>
      </c>
      <c r="L143" s="1052">
        <f t="shared" si="51"/>
        <v>101.88888888884023</v>
      </c>
      <c r="M143" s="1052">
        <f t="shared" si="51"/>
        <v>105.77777777768944</v>
      </c>
      <c r="N143" s="1053">
        <f t="shared" si="51"/>
        <v>70.0</v>
      </c>
      <c r="O143" s="1053">
        <f t="shared" si="51"/>
        <v>76.22222222230236</v>
      </c>
      <c r="P143" s="1053">
        <f t="shared" si="51"/>
        <v>80.11111111115298</v>
      </c>
      <c r="Q143" s="1054">
        <f t="shared" si="51"/>
        <v>66.11111111114558</v>
      </c>
      <c r="R143" s="1054">
        <f t="shared" si="45"/>
        <v>72.33333333327623</v>
      </c>
      <c r="S143" s="1054">
        <f t="shared" si="45"/>
        <v>76.22222222230236</v>
      </c>
      <c r="T143" s="1055">
        <f t="shared" si="39"/>
        <v>62.22222222228596</v>
      </c>
      <c r="U143" s="1055">
        <f t="shared" si="46"/>
        <v>68.44444444442651</v>
      </c>
      <c r="V143" s="1055">
        <f t="shared" si="47"/>
        <v>72.33333333327623</v>
      </c>
      <c r="W143" s="1056">
        <f t="shared" si="48"/>
        <v>58.333333333290334</v>
      </c>
      <c r="X143" s="1056">
        <f t="shared" si="49"/>
        <v>64.5555555555723</v>
      </c>
      <c r="Y143" s="1056">
        <f t="shared" si="50"/>
        <v>68.44444444442651</v>
      </c>
      <c r="Z143" s="1057">
        <f t="shared" si="43"/>
        <v>54.44444444443182</v>
      </c>
      <c r="AA143" s="1057">
        <f t="shared" si="43"/>
        <v>60.66666666671267</v>
      </c>
      <c r="AB143" s="1057">
        <f t="shared" si="43"/>
        <v>64.5555555555723</v>
      </c>
      <c r="AC143" s="1058">
        <f t="shared" si="43"/>
        <v>50.555555555566286</v>
      </c>
      <c r="AD143" s="1058">
        <f t="shared" si="43"/>
        <v>56.77777777772914</v>
      </c>
      <c r="AE143" s="1058">
        <f t="shared" si="52"/>
        <v>60.66666666671267</v>
      </c>
      <c r="AF143" s="1059">
        <f t="shared" si="52"/>
        <v>46.66666666669197</v>
      </c>
      <c r="AG143" s="1059">
        <f t="shared" si="52"/>
        <v>52.88888888886502</v>
      </c>
      <c r="AH143" s="1059">
        <f t="shared" si="52"/>
        <v>56.77777777772914</v>
      </c>
      <c r="AI143" s="1060">
        <f t="shared" si="52"/>
        <v>42.77777777776074</v>
      </c>
      <c r="AJ143" s="1060">
        <f t="shared" si="52"/>
        <v>49.0</v>
      </c>
      <c r="AK143" s="1060">
        <f t="shared" si="52"/>
        <v>52.88888888886502</v>
      </c>
    </row>
    <row r="144" spans="8:8" ht="15.75" customHeight="1">
      <c r="D144" s="1049">
        <f t="shared" si="44"/>
        <v>0.39166666666669075</v>
      </c>
      <c r="E144" s="1050">
        <f t="shared" si="41"/>
        <v>112.01666666667356</v>
      </c>
      <c r="F144" s="1050">
        <f t="shared" si="42"/>
        <v>118.28333333334061</v>
      </c>
      <c r="G144" s="1050">
        <f t="shared" si="42"/>
        <v>122.20000000000752</v>
      </c>
      <c r="H144" s="1051">
        <f t="shared" si="51"/>
        <v>104.18333333330911</v>
      </c>
      <c r="I144" s="1051">
        <f t="shared" si="51"/>
        <v>110.45000000007266</v>
      </c>
      <c r="J144" s="1051">
        <f t="shared" si="51"/>
        <v>114.36666666669089</v>
      </c>
      <c r="K144" s="1052">
        <f t="shared" si="51"/>
        <v>96.35000000007116</v>
      </c>
      <c r="L144" s="1052">
        <f t="shared" si="51"/>
        <v>102.61666666661823</v>
      </c>
      <c r="M144" s="1052">
        <f t="shared" si="51"/>
        <v>106.53333333324544</v>
      </c>
      <c r="N144" s="1053">
        <f t="shared" si="51"/>
        <v>70.5</v>
      </c>
      <c r="O144" s="1053">
        <f t="shared" si="51"/>
        <v>76.76666666674676</v>
      </c>
      <c r="P144" s="1053">
        <f t="shared" si="51"/>
        <v>80.68333333337517</v>
      </c>
      <c r="Q144" s="1054">
        <f t="shared" si="51"/>
        <v>66.58333333336778</v>
      </c>
      <c r="R144" s="1054">
        <f t="shared" si="45"/>
        <v>72.84999999994294</v>
      </c>
      <c r="S144" s="1054">
        <f t="shared" si="45"/>
        <v>76.76666666674676</v>
      </c>
      <c r="T144" s="1055">
        <f t="shared" si="39"/>
        <v>62.66666666673036</v>
      </c>
      <c r="U144" s="1055">
        <f t="shared" si="46"/>
        <v>68.9333333333154</v>
      </c>
      <c r="V144" s="1055">
        <f t="shared" si="47"/>
        <v>72.84999999994294</v>
      </c>
      <c r="W144" s="1056">
        <f t="shared" si="48"/>
        <v>58.74999999995703</v>
      </c>
      <c r="X144" s="1056">
        <f t="shared" si="49"/>
        <v>65.01666666668339</v>
      </c>
      <c r="Y144" s="1056">
        <f t="shared" si="50"/>
        <v>68.9333333333154</v>
      </c>
      <c r="Z144" s="1057">
        <f t="shared" si="43"/>
        <v>54.83333333332072</v>
      </c>
      <c r="AA144" s="1057">
        <f t="shared" si="43"/>
        <v>61.100000000045966</v>
      </c>
      <c r="AB144" s="1057">
        <f t="shared" si="43"/>
        <v>65.01666666668339</v>
      </c>
      <c r="AC144" s="1058">
        <f t="shared" si="43"/>
        <v>50.916666666677386</v>
      </c>
      <c r="AD144" s="1058">
        <f t="shared" si="43"/>
        <v>57.18333333328474</v>
      </c>
      <c r="AE144" s="1058">
        <f t="shared" si="52"/>
        <v>61.100000000045966</v>
      </c>
      <c r="AF144" s="1059">
        <f t="shared" si="52"/>
        <v>47.00000000002527</v>
      </c>
      <c r="AG144" s="1059">
        <f t="shared" si="52"/>
        <v>53.26666666664282</v>
      </c>
      <c r="AH144" s="1059">
        <f t="shared" si="52"/>
        <v>57.18333333328474</v>
      </c>
      <c r="AI144" s="1060">
        <f t="shared" si="52"/>
        <v>43.08333333331634</v>
      </c>
      <c r="AJ144" s="1060">
        <f t="shared" si="52"/>
        <v>49.35</v>
      </c>
      <c r="AK144" s="1060">
        <f t="shared" si="52"/>
        <v>53.26666666664282</v>
      </c>
    </row>
    <row r="145" spans="8:8" ht="15.75" customHeight="1">
      <c r="D145" s="1049">
        <f t="shared" si="44"/>
        <v>0.39444444444446874</v>
      </c>
      <c r="E145" s="1050">
        <f t="shared" si="41"/>
        <v>112.81111111111807</v>
      </c>
      <c r="F145" s="1050">
        <f t="shared" si="42"/>
        <v>119.12222222222957</v>
      </c>
      <c r="G145" s="1050">
        <f t="shared" si="42"/>
        <v>123.06666666667425</v>
      </c>
      <c r="H145" s="1051">
        <f t="shared" si="51"/>
        <v>104.9222222221981</v>
      </c>
      <c r="I145" s="1051">
        <f t="shared" si="51"/>
        <v>111.23333333340567</v>
      </c>
      <c r="J145" s="1051">
        <f t="shared" si="51"/>
        <v>115.17777777780188</v>
      </c>
      <c r="K145" s="1052">
        <f t="shared" si="51"/>
        <v>97.03333333340446</v>
      </c>
      <c r="L145" s="1052">
        <f t="shared" si="51"/>
        <v>103.34444444439623</v>
      </c>
      <c r="M145" s="1052">
        <f t="shared" si="51"/>
        <v>107.28888888880144</v>
      </c>
      <c r="N145" s="1053">
        <f t="shared" si="51"/>
        <v>71.0</v>
      </c>
      <c r="O145" s="1053">
        <f t="shared" si="51"/>
        <v>77.31111111119117</v>
      </c>
      <c r="P145" s="1053">
        <f t="shared" si="51"/>
        <v>81.25555555559738</v>
      </c>
      <c r="Q145" s="1054">
        <f t="shared" si="51"/>
        <v>67.05555555558998</v>
      </c>
      <c r="R145" s="1054">
        <f t="shared" si="45"/>
        <v>73.36666666660963</v>
      </c>
      <c r="S145" s="1054">
        <f t="shared" si="45"/>
        <v>77.31111111119117</v>
      </c>
      <c r="T145" s="1055">
        <f t="shared" si="39"/>
        <v>63.11111111117476</v>
      </c>
      <c r="U145" s="1055">
        <f t="shared" si="46"/>
        <v>69.42222222220431</v>
      </c>
      <c r="V145" s="1055">
        <f t="shared" si="47"/>
        <v>73.36666666660963</v>
      </c>
      <c r="W145" s="1056">
        <f t="shared" si="48"/>
        <v>59.16666666662373</v>
      </c>
      <c r="X145" s="1056">
        <f t="shared" si="49"/>
        <v>65.47777777779449</v>
      </c>
      <c r="Y145" s="1056">
        <f t="shared" si="50"/>
        <v>69.42222222220431</v>
      </c>
      <c r="Z145" s="1057">
        <f t="shared" si="43"/>
        <v>55.222222222209616</v>
      </c>
      <c r="AA145" s="1057">
        <f t="shared" si="43"/>
        <v>61.53333333337927</v>
      </c>
      <c r="AB145" s="1057">
        <f t="shared" si="43"/>
        <v>65.47777777779449</v>
      </c>
      <c r="AC145" s="1058">
        <f t="shared" si="43"/>
        <v>51.277777777788486</v>
      </c>
      <c r="AD145" s="1058">
        <f t="shared" si="43"/>
        <v>57.588888888840344</v>
      </c>
      <c r="AE145" s="1058">
        <f t="shared" si="52"/>
        <v>61.53333333337927</v>
      </c>
      <c r="AF145" s="1059">
        <f t="shared" si="52"/>
        <v>47.33333333335857</v>
      </c>
      <c r="AG145" s="1059">
        <f t="shared" si="52"/>
        <v>53.64444444442062</v>
      </c>
      <c r="AH145" s="1059">
        <f t="shared" si="52"/>
        <v>57.588888888840344</v>
      </c>
      <c r="AI145" s="1060">
        <f t="shared" si="52"/>
        <v>43.388888888871946</v>
      </c>
      <c r="AJ145" s="1060">
        <f t="shared" si="52"/>
        <v>49.699999999999996</v>
      </c>
      <c r="AK145" s="1060">
        <f t="shared" si="52"/>
        <v>53.64444444442062</v>
      </c>
    </row>
    <row r="146" spans="8:8" ht="15.75" customHeight="1">
      <c r="D146" s="1049">
        <f t="shared" si="44"/>
        <v>0.3972222222222468</v>
      </c>
      <c r="E146" s="1050">
        <f t="shared" si="41"/>
        <v>113.60555555556259</v>
      </c>
      <c r="F146" s="1050">
        <f t="shared" si="42"/>
        <v>119.96111111111853</v>
      </c>
      <c r="G146" s="1050">
        <f t="shared" si="42"/>
        <v>123.933333333341</v>
      </c>
      <c r="H146" s="1051">
        <f t="shared" si="51"/>
        <v>105.66111111108711</v>
      </c>
      <c r="I146" s="1051">
        <f t="shared" si="51"/>
        <v>112.01666666673867</v>
      </c>
      <c r="J146" s="1051">
        <f t="shared" si="51"/>
        <v>115.98888888891288</v>
      </c>
      <c r="K146" s="1052">
        <f t="shared" si="51"/>
        <v>97.71666666673777</v>
      </c>
      <c r="L146" s="1052">
        <f t="shared" si="51"/>
        <v>104.07222222217423</v>
      </c>
      <c r="M146" s="1052">
        <f t="shared" si="51"/>
        <v>108.04444444435744</v>
      </c>
      <c r="N146" s="1053">
        <f t="shared" si="51"/>
        <v>71.5</v>
      </c>
      <c r="O146" s="1053">
        <f t="shared" si="51"/>
        <v>77.85555555563556</v>
      </c>
      <c r="P146" s="1053">
        <f t="shared" si="51"/>
        <v>81.82777777781958</v>
      </c>
      <c r="Q146" s="1054">
        <f t="shared" si="51"/>
        <v>67.52777777781218</v>
      </c>
      <c r="R146" s="1054">
        <f t="shared" si="45"/>
        <v>73.88333333327634</v>
      </c>
      <c r="S146" s="1054">
        <f t="shared" si="45"/>
        <v>77.85555555563556</v>
      </c>
      <c r="T146" s="1055">
        <f t="shared" si="39"/>
        <v>63.55555555561915</v>
      </c>
      <c r="U146" s="1055">
        <f t="shared" si="46"/>
        <v>69.9111111110932</v>
      </c>
      <c r="V146" s="1055">
        <f t="shared" si="47"/>
        <v>73.88333333327634</v>
      </c>
      <c r="W146" s="1056">
        <f t="shared" si="48"/>
        <v>59.58333333329043</v>
      </c>
      <c r="X146" s="1056">
        <f t="shared" si="49"/>
        <v>65.9388888889056</v>
      </c>
      <c r="Y146" s="1056">
        <f t="shared" si="50"/>
        <v>69.9111111110932</v>
      </c>
      <c r="Z146" s="1057">
        <f t="shared" si="43"/>
        <v>55.611111111098516</v>
      </c>
      <c r="AA146" s="1057">
        <f t="shared" si="43"/>
        <v>61.96666666671257</v>
      </c>
      <c r="AB146" s="1057">
        <f t="shared" si="43"/>
        <v>65.9388888889056</v>
      </c>
      <c r="AC146" s="1058">
        <f t="shared" si="43"/>
        <v>51.63888888889959</v>
      </c>
      <c r="AD146" s="1058">
        <f t="shared" si="43"/>
        <v>57.99444444439594</v>
      </c>
      <c r="AE146" s="1058">
        <f t="shared" si="52"/>
        <v>61.96666666671257</v>
      </c>
      <c r="AF146" s="1059">
        <f t="shared" si="52"/>
        <v>47.66666666669187</v>
      </c>
      <c r="AG146" s="1059">
        <f t="shared" si="52"/>
        <v>54.02222222219842</v>
      </c>
      <c r="AH146" s="1059">
        <f t="shared" si="52"/>
        <v>57.99444444439594</v>
      </c>
      <c r="AI146" s="1060">
        <f t="shared" si="52"/>
        <v>43.694444444427546</v>
      </c>
      <c r="AJ146" s="1060">
        <f t="shared" si="52"/>
        <v>50.05</v>
      </c>
      <c r="AK146" s="1060">
        <f t="shared" si="52"/>
        <v>54.02222222219842</v>
      </c>
    </row>
    <row r="147" spans="8:8" ht="15.75" customHeight="1">
      <c r="D147" s="1049">
        <f t="shared" si="44"/>
        <v>0.4000000000000248</v>
      </c>
      <c r="E147" s="1050">
        <f t="shared" si="41"/>
        <v>114.40000000000708</v>
      </c>
      <c r="F147" s="1050">
        <f t="shared" si="42"/>
        <v>120.80000000000749</v>
      </c>
      <c r="G147" s="1050">
        <f t="shared" si="42"/>
        <v>124.80000000000773</v>
      </c>
      <c r="H147" s="1051">
        <f t="shared" si="51"/>
        <v>106.3999999999761</v>
      </c>
      <c r="I147" s="1051">
        <f t="shared" si="51"/>
        <v>112.80000000007166</v>
      </c>
      <c r="J147" s="1051">
        <f t="shared" si="51"/>
        <v>116.80000000002389</v>
      </c>
      <c r="K147" s="1052">
        <f t="shared" si="51"/>
        <v>98.40000000007106</v>
      </c>
      <c r="L147" s="1052">
        <f t="shared" si="51"/>
        <v>104.79999999995222</v>
      </c>
      <c r="M147" s="1052">
        <f t="shared" si="51"/>
        <v>108.79999999991344</v>
      </c>
      <c r="N147" s="1053">
        <f t="shared" si="51"/>
        <v>72.0</v>
      </c>
      <c r="O147" s="1053">
        <f t="shared" si="51"/>
        <v>78.40000000007996</v>
      </c>
      <c r="P147" s="1053">
        <f t="shared" si="51"/>
        <v>82.40000000004177</v>
      </c>
      <c r="Q147" s="1054">
        <f t="shared" si="51"/>
        <v>68.00000000003438</v>
      </c>
      <c r="R147" s="1054">
        <f t="shared" si="45"/>
        <v>74.39999999994303</v>
      </c>
      <c r="S147" s="1054">
        <f t="shared" si="45"/>
        <v>78.40000000007996</v>
      </c>
      <c r="T147" s="1055">
        <f t="shared" si="53" ref="T147:T168">T148-(T$363/360)</f>
        <v>64.00000000006355</v>
      </c>
      <c r="U147" s="1055">
        <f t="shared" si="46"/>
        <v>70.3999999999821</v>
      </c>
      <c r="V147" s="1055">
        <f t="shared" si="47"/>
        <v>74.39999999994303</v>
      </c>
      <c r="W147" s="1056">
        <f t="shared" si="48"/>
        <v>59.99999999995713</v>
      </c>
      <c r="X147" s="1056">
        <f t="shared" si="49"/>
        <v>66.40000000001669</v>
      </c>
      <c r="Y147" s="1056">
        <f t="shared" si="50"/>
        <v>70.3999999999821</v>
      </c>
      <c r="Z147" s="1057">
        <f t="shared" si="43"/>
        <v>55.999999999987416</v>
      </c>
      <c r="AA147" s="1057">
        <f t="shared" si="43"/>
        <v>62.40000000004587</v>
      </c>
      <c r="AB147" s="1057">
        <f t="shared" si="43"/>
        <v>66.40000000001669</v>
      </c>
      <c r="AC147" s="1058">
        <f t="shared" si="43"/>
        <v>52.00000000001069</v>
      </c>
      <c r="AD147" s="1058">
        <f t="shared" si="43"/>
        <v>58.39999999995154</v>
      </c>
      <c r="AE147" s="1058">
        <f t="shared" si="52"/>
        <v>62.40000000004587</v>
      </c>
      <c r="AF147" s="1059">
        <f t="shared" si="52"/>
        <v>48.00000000002517</v>
      </c>
      <c r="AG147" s="1059">
        <f t="shared" si="52"/>
        <v>54.39999999997622</v>
      </c>
      <c r="AH147" s="1059">
        <f t="shared" si="52"/>
        <v>58.39999999995154</v>
      </c>
      <c r="AI147" s="1060">
        <f t="shared" si="52"/>
        <v>43.999999999983146</v>
      </c>
      <c r="AJ147" s="1060">
        <f t="shared" si="52"/>
        <v>50.4</v>
      </c>
      <c r="AK147" s="1060">
        <f t="shared" si="52"/>
        <v>54.39999999997622</v>
      </c>
    </row>
    <row r="148" spans="8:8" ht="15.75" customHeight="1">
      <c r="D148" s="1049">
        <f t="shared" si="44"/>
        <v>0.40277777777780277</v>
      </c>
      <c r="E148" s="1050">
        <f t="shared" si="41"/>
        <v>115.19444444445159</v>
      </c>
      <c r="F148" s="1050">
        <f t="shared" si="42"/>
        <v>121.63888888889643</v>
      </c>
      <c r="G148" s="1050">
        <f t="shared" si="42"/>
        <v>125.66666666667446</v>
      </c>
      <c r="H148" s="1051">
        <f t="shared" si="51"/>
        <v>107.13888888886511</v>
      </c>
      <c r="I148" s="1051">
        <f t="shared" si="51"/>
        <v>113.58333333340467</v>
      </c>
      <c r="J148" s="1051">
        <f t="shared" si="51"/>
        <v>117.61111111113489</v>
      </c>
      <c r="K148" s="1052">
        <f t="shared" si="51"/>
        <v>99.08333333340437</v>
      </c>
      <c r="L148" s="1052">
        <f t="shared" si="51"/>
        <v>105.52777777773022</v>
      </c>
      <c r="M148" s="1052">
        <f t="shared" si="51"/>
        <v>109.55555555546944</v>
      </c>
      <c r="N148" s="1053">
        <f t="shared" si="51"/>
        <v>72.5</v>
      </c>
      <c r="O148" s="1053">
        <f t="shared" si="51"/>
        <v>78.94444444452436</v>
      </c>
      <c r="P148" s="1053">
        <f t="shared" si="51"/>
        <v>82.97222222226398</v>
      </c>
      <c r="Q148" s="1054">
        <f t="shared" si="51"/>
        <v>68.47222222225658</v>
      </c>
      <c r="R148" s="1054">
        <f t="shared" si="45"/>
        <v>74.91666666660973</v>
      </c>
      <c r="S148" s="1054">
        <f t="shared" si="45"/>
        <v>78.94444444452436</v>
      </c>
      <c r="T148" s="1055">
        <f t="shared" si="53"/>
        <v>64.44444444450795</v>
      </c>
      <c r="U148" s="1055">
        <f t="shared" si="46"/>
        <v>70.88888888887101</v>
      </c>
      <c r="V148" s="1055">
        <f t="shared" si="47"/>
        <v>74.91666666660973</v>
      </c>
      <c r="W148" s="1056">
        <f t="shared" si="48"/>
        <v>60.41666666662383</v>
      </c>
      <c r="X148" s="1056">
        <f t="shared" si="49"/>
        <v>66.8611111111278</v>
      </c>
      <c r="Y148" s="1056">
        <f t="shared" si="50"/>
        <v>70.88888888887101</v>
      </c>
      <c r="Z148" s="1057">
        <f t="shared" si="43"/>
        <v>56.388888888876316</v>
      </c>
      <c r="AA148" s="1057">
        <f t="shared" si="43"/>
        <v>62.83333333337917</v>
      </c>
      <c r="AB148" s="1057">
        <f t="shared" si="43"/>
        <v>66.8611111111278</v>
      </c>
      <c r="AC148" s="1058">
        <f t="shared" si="43"/>
        <v>52.36111111112179</v>
      </c>
      <c r="AD148" s="1058">
        <f t="shared" si="43"/>
        <v>58.80555555550714</v>
      </c>
      <c r="AE148" s="1058">
        <f t="shared" si="52"/>
        <v>62.83333333337917</v>
      </c>
      <c r="AF148" s="1059">
        <f t="shared" si="52"/>
        <v>48.33333333335847</v>
      </c>
      <c r="AG148" s="1059">
        <f t="shared" si="52"/>
        <v>54.77777777775402</v>
      </c>
      <c r="AH148" s="1059">
        <f t="shared" si="52"/>
        <v>58.80555555550714</v>
      </c>
      <c r="AI148" s="1060">
        <f t="shared" si="52"/>
        <v>44.305555555538746</v>
      </c>
      <c r="AJ148" s="1060">
        <f t="shared" si="52"/>
        <v>50.75</v>
      </c>
      <c r="AK148" s="1060">
        <f t="shared" si="52"/>
        <v>54.77777777775402</v>
      </c>
    </row>
    <row r="149" spans="8:8" ht="15.75" customHeight="1">
      <c r="D149" s="1049">
        <f t="shared" si="44"/>
        <v>0.40555555555558076</v>
      </c>
      <c r="E149" s="1050">
        <f t="shared" si="41"/>
        <v>115.9888888888961</v>
      </c>
      <c r="F149" s="1050">
        <f t="shared" si="42"/>
        <v>122.47777777778539</v>
      </c>
      <c r="G149" s="1050">
        <f t="shared" si="42"/>
        <v>126.5333333333412</v>
      </c>
      <c r="H149" s="1051">
        <f t="shared" si="51"/>
        <v>107.8777777777541</v>
      </c>
      <c r="I149" s="1051">
        <f t="shared" si="51"/>
        <v>114.36666666673767</v>
      </c>
      <c r="J149" s="1051">
        <f t="shared" si="51"/>
        <v>118.42222222224588</v>
      </c>
      <c r="K149" s="1052">
        <f t="shared" si="51"/>
        <v>99.76666666673766</v>
      </c>
      <c r="L149" s="1052">
        <f t="shared" si="51"/>
        <v>106.25555555550822</v>
      </c>
      <c r="M149" s="1052">
        <f t="shared" si="51"/>
        <v>110.31111111102544</v>
      </c>
      <c r="N149" s="1053">
        <f t="shared" si="51"/>
        <v>73.0</v>
      </c>
      <c r="O149" s="1053">
        <f t="shared" si="51"/>
        <v>79.48888888896876</v>
      </c>
      <c r="P149" s="1053">
        <f t="shared" si="51"/>
        <v>83.54444444448617</v>
      </c>
      <c r="Q149" s="1054">
        <f t="shared" si="51"/>
        <v>68.94444444447878</v>
      </c>
      <c r="R149" s="1054">
        <f t="shared" si="45"/>
        <v>75.43333333327644</v>
      </c>
      <c r="S149" s="1054">
        <f t="shared" si="45"/>
        <v>79.48888888896876</v>
      </c>
      <c r="T149" s="1055">
        <f t="shared" si="53"/>
        <v>64.88888888895235</v>
      </c>
      <c r="U149" s="1055">
        <f t="shared" si="46"/>
        <v>71.3777777777599</v>
      </c>
      <c r="V149" s="1055">
        <f t="shared" si="47"/>
        <v>75.43333333327644</v>
      </c>
      <c r="W149" s="1056">
        <f t="shared" si="48"/>
        <v>60.83333333329053</v>
      </c>
      <c r="X149" s="1056">
        <f t="shared" si="49"/>
        <v>67.32222222223889</v>
      </c>
      <c r="Y149" s="1056">
        <f t="shared" si="50"/>
        <v>71.3777777777599</v>
      </c>
      <c r="Z149" s="1057">
        <f t="shared" si="43"/>
        <v>56.777777777765216</v>
      </c>
      <c r="AA149" s="1057">
        <f t="shared" si="43"/>
        <v>63.26666666671247</v>
      </c>
      <c r="AB149" s="1057">
        <f t="shared" si="43"/>
        <v>67.32222222223889</v>
      </c>
      <c r="AC149" s="1058">
        <f t="shared" si="43"/>
        <v>52.72222222223289</v>
      </c>
      <c r="AD149" s="1058">
        <f t="shared" si="43"/>
        <v>59.21111111106274</v>
      </c>
      <c r="AE149" s="1058">
        <f t="shared" si="52"/>
        <v>63.26666666671247</v>
      </c>
      <c r="AF149" s="1059">
        <f t="shared" si="52"/>
        <v>48.66666666669177</v>
      </c>
      <c r="AG149" s="1059">
        <f t="shared" si="52"/>
        <v>55.15555555553182</v>
      </c>
      <c r="AH149" s="1059">
        <f t="shared" si="52"/>
        <v>59.21111111106274</v>
      </c>
      <c r="AI149" s="1060">
        <f t="shared" si="52"/>
        <v>44.611111111094345</v>
      </c>
      <c r="AJ149" s="1060">
        <f t="shared" si="52"/>
        <v>51.1</v>
      </c>
      <c r="AK149" s="1060">
        <f t="shared" si="52"/>
        <v>55.15555555553182</v>
      </c>
    </row>
    <row r="150" spans="8:8" ht="15.75" customHeight="1">
      <c r="D150" s="1049">
        <f t="shared" si="44"/>
        <v>0.40833333333335875</v>
      </c>
      <c r="E150" s="1050">
        <f t="shared" si="41"/>
        <v>116.78333333334061</v>
      </c>
      <c r="F150" s="1050">
        <f t="shared" si="42"/>
        <v>123.31666666667434</v>
      </c>
      <c r="G150" s="1050">
        <f t="shared" si="42"/>
        <v>127.40000000000794</v>
      </c>
      <c r="H150" s="1051">
        <f t="shared" si="51"/>
        <v>108.61666666664311</v>
      </c>
      <c r="I150" s="1051">
        <f t="shared" si="51"/>
        <v>115.15000000007066</v>
      </c>
      <c r="J150" s="1051">
        <f t="shared" si="51"/>
        <v>119.23333333335688</v>
      </c>
      <c r="K150" s="1052">
        <f t="shared" si="51"/>
        <v>100.45000000007066</v>
      </c>
      <c r="L150" s="1052">
        <f t="shared" si="51"/>
        <v>106.98333333328623</v>
      </c>
      <c r="M150" s="1052">
        <f t="shared" si="51"/>
        <v>111.06666666658144</v>
      </c>
      <c r="N150" s="1053">
        <f t="shared" si="51"/>
        <v>73.5</v>
      </c>
      <c r="O150" s="1053">
        <f t="shared" si="51"/>
        <v>80.03333333341317</v>
      </c>
      <c r="P150" s="1053">
        <f t="shared" si="51"/>
        <v>84.11666666670838</v>
      </c>
      <c r="Q150" s="1054">
        <f t="shared" si="51"/>
        <v>69.41666666670098</v>
      </c>
      <c r="R150" s="1054">
        <f t="shared" si="54" ref="R150:S166">R151-(R$363/360)</f>
        <v>75.94999999994313</v>
      </c>
      <c r="S150" s="1054">
        <f t="shared" si="54"/>
        <v>80.03333333341317</v>
      </c>
      <c r="T150" s="1055">
        <f t="shared" si="53"/>
        <v>65.33333333339675</v>
      </c>
      <c r="U150" s="1055">
        <f t="shared" si="46"/>
        <v>71.86666666664881</v>
      </c>
      <c r="V150" s="1055">
        <f t="shared" si="47"/>
        <v>75.94999999994313</v>
      </c>
      <c r="W150" s="1056">
        <f t="shared" si="48"/>
        <v>61.24999999995723</v>
      </c>
      <c r="X150" s="1056">
        <f t="shared" si="49"/>
        <v>67.78333333334999</v>
      </c>
      <c r="Y150" s="1056">
        <f t="shared" si="50"/>
        <v>71.86666666664881</v>
      </c>
      <c r="Z150" s="1057">
        <f t="shared" si="43"/>
        <v>57.166666666654116</v>
      </c>
      <c r="AA150" s="1057">
        <f t="shared" si="43"/>
        <v>63.70000000004577</v>
      </c>
      <c r="AB150" s="1057">
        <f t="shared" si="43"/>
        <v>67.78333333334999</v>
      </c>
      <c r="AC150" s="1058">
        <f t="shared" si="43"/>
        <v>53.08333333334399</v>
      </c>
      <c r="AD150" s="1058">
        <f t="shared" si="43"/>
        <v>59.61666666661834</v>
      </c>
      <c r="AE150" s="1058">
        <f t="shared" si="52"/>
        <v>63.70000000004577</v>
      </c>
      <c r="AF150" s="1059">
        <f t="shared" si="52"/>
        <v>49.00000000002506</v>
      </c>
      <c r="AG150" s="1059">
        <f t="shared" si="52"/>
        <v>55.53333333330962</v>
      </c>
      <c r="AH150" s="1059">
        <f t="shared" si="52"/>
        <v>59.61666666661834</v>
      </c>
      <c r="AI150" s="1060">
        <f t="shared" si="52"/>
        <v>44.916666666649945</v>
      </c>
      <c r="AJ150" s="1060">
        <f t="shared" si="52"/>
        <v>51.449999999999996</v>
      </c>
      <c r="AK150" s="1060">
        <f t="shared" si="52"/>
        <v>55.53333333330962</v>
      </c>
    </row>
    <row r="151" spans="8:8" ht="15.75" customHeight="1">
      <c r="D151" s="1049">
        <f t="shared" si="44"/>
        <v>0.4111111111111368</v>
      </c>
      <c r="E151" s="1050">
        <f t="shared" si="41"/>
        <v>117.57777777778513</v>
      </c>
      <c r="F151" s="1050">
        <f t="shared" si="42"/>
        <v>124.15555555556331</v>
      </c>
      <c r="G151" s="1050">
        <f t="shared" si="42"/>
        <v>128.26666666667467</v>
      </c>
      <c r="H151" s="1051">
        <f t="shared" si="51"/>
        <v>109.3555555555321</v>
      </c>
      <c r="I151" s="1051">
        <f t="shared" si="51"/>
        <v>115.93333333340367</v>
      </c>
      <c r="J151" s="1051">
        <f t="shared" si="51"/>
        <v>120.04444444446789</v>
      </c>
      <c r="K151" s="1052">
        <f t="shared" si="51"/>
        <v>101.13333333340367</v>
      </c>
      <c r="L151" s="1052">
        <f t="shared" si="51"/>
        <v>107.71111111106423</v>
      </c>
      <c r="M151" s="1052">
        <f t="shared" si="51"/>
        <v>111.82222222213744</v>
      </c>
      <c r="N151" s="1053">
        <f t="shared" si="51"/>
        <v>74.0</v>
      </c>
      <c r="O151" s="1053">
        <f t="shared" si="51"/>
        <v>80.57777777785756</v>
      </c>
      <c r="P151" s="1053">
        <f t="shared" si="51"/>
        <v>84.68888888893058</v>
      </c>
      <c r="Q151" s="1054">
        <f t="shared" si="51"/>
        <v>69.88888888892318</v>
      </c>
      <c r="R151" s="1054">
        <f t="shared" si="54"/>
        <v>76.46666666660984</v>
      </c>
      <c r="S151" s="1054">
        <f t="shared" si="54"/>
        <v>80.57777777785756</v>
      </c>
      <c r="T151" s="1055">
        <f t="shared" si="53"/>
        <v>65.77777777784115</v>
      </c>
      <c r="U151" s="1055">
        <f t="shared" si="46"/>
        <v>72.3555555555377</v>
      </c>
      <c r="V151" s="1055">
        <f t="shared" si="47"/>
        <v>76.46666666660984</v>
      </c>
      <c r="W151" s="1056">
        <f t="shared" si="48"/>
        <v>61.66666666662393</v>
      </c>
      <c r="X151" s="1056">
        <f t="shared" si="49"/>
        <v>68.2444444444611</v>
      </c>
      <c r="Y151" s="1056">
        <f t="shared" si="50"/>
        <v>72.3555555555377</v>
      </c>
      <c r="Z151" s="1057">
        <f t="shared" si="43"/>
        <v>57.555555555543016</v>
      </c>
      <c r="AA151" s="1057">
        <f t="shared" si="43"/>
        <v>64.13333333337906</v>
      </c>
      <c r="AB151" s="1057">
        <f t="shared" si="43"/>
        <v>68.2444444444611</v>
      </c>
      <c r="AC151" s="1058">
        <f t="shared" si="43"/>
        <v>53.44444444445509</v>
      </c>
      <c r="AD151" s="1058">
        <f t="shared" si="43"/>
        <v>60.022222222173944</v>
      </c>
      <c r="AE151" s="1058">
        <f t="shared" si="52"/>
        <v>64.13333333337906</v>
      </c>
      <c r="AF151" s="1059">
        <f t="shared" si="52"/>
        <v>49.33333333335836</v>
      </c>
      <c r="AG151" s="1059">
        <f t="shared" si="52"/>
        <v>55.91111111108742</v>
      </c>
      <c r="AH151" s="1059">
        <f t="shared" si="52"/>
        <v>60.022222222173944</v>
      </c>
      <c r="AI151" s="1060">
        <f t="shared" si="52"/>
        <v>45.222222222205545</v>
      </c>
      <c r="AJ151" s="1060">
        <f t="shared" si="52"/>
        <v>51.8</v>
      </c>
      <c r="AK151" s="1060">
        <f t="shared" si="52"/>
        <v>55.91111111108742</v>
      </c>
    </row>
    <row r="152" spans="8:8" ht="15.75" customHeight="1">
      <c r="D152" s="1049">
        <f t="shared" si="44"/>
        <v>0.4138888888889148</v>
      </c>
      <c r="E152" s="1050">
        <f t="shared" si="41"/>
        <v>118.37222222222962</v>
      </c>
      <c r="F152" s="1050">
        <f t="shared" si="42"/>
        <v>124.99444444445227</v>
      </c>
      <c r="G152" s="1050">
        <f t="shared" si="42"/>
        <v>129.13333333334143</v>
      </c>
      <c r="H152" s="1051">
        <f t="shared" si="51"/>
        <v>110.0944444444211</v>
      </c>
      <c r="I152" s="1051">
        <f t="shared" si="51"/>
        <v>116.71666666673667</v>
      </c>
      <c r="J152" s="1051">
        <f t="shared" si="51"/>
        <v>120.85555555557889</v>
      </c>
      <c r="K152" s="1052">
        <f t="shared" si="51"/>
        <v>101.81666666673667</v>
      </c>
      <c r="L152" s="1052">
        <f t="shared" si="51"/>
        <v>108.43888888884223</v>
      </c>
      <c r="M152" s="1052">
        <f t="shared" si="51"/>
        <v>112.57777777769344</v>
      </c>
      <c r="N152" s="1053">
        <f t="shared" si="51"/>
        <v>74.5</v>
      </c>
      <c r="O152" s="1053">
        <f t="shared" si="51"/>
        <v>81.12222222230196</v>
      </c>
      <c r="P152" s="1053">
        <f t="shared" si="51"/>
        <v>85.26111111115277</v>
      </c>
      <c r="Q152" s="1054">
        <f t="shared" si="51"/>
        <v>70.36111111114538</v>
      </c>
      <c r="R152" s="1054">
        <f t="shared" si="54"/>
        <v>76.98333333327653</v>
      </c>
      <c r="S152" s="1054">
        <f t="shared" si="54"/>
        <v>81.12222222230196</v>
      </c>
      <c r="T152" s="1055">
        <f t="shared" si="53"/>
        <v>66.22222222228555</v>
      </c>
      <c r="U152" s="1055">
        <f t="shared" si="46"/>
        <v>72.8444444444266</v>
      </c>
      <c r="V152" s="1055">
        <f t="shared" si="47"/>
        <v>76.98333333327653</v>
      </c>
      <c r="W152" s="1056">
        <f t="shared" si="48"/>
        <v>62.08333333329064</v>
      </c>
      <c r="X152" s="1056">
        <f t="shared" si="49"/>
        <v>68.70555555557219</v>
      </c>
      <c r="Y152" s="1056">
        <f t="shared" si="50"/>
        <v>72.8444444444266</v>
      </c>
      <c r="Z152" s="1057">
        <f t="shared" si="43"/>
        <v>57.944444444431916</v>
      </c>
      <c r="AA152" s="1057">
        <f t="shared" si="43"/>
        <v>64.56666666671236</v>
      </c>
      <c r="AB152" s="1057">
        <f t="shared" si="43"/>
        <v>68.70555555557219</v>
      </c>
      <c r="AC152" s="1058">
        <f t="shared" si="43"/>
        <v>53.80555555556619</v>
      </c>
      <c r="AD152" s="1058">
        <f t="shared" si="43"/>
        <v>60.42777777772954</v>
      </c>
      <c r="AE152" s="1058">
        <f t="shared" si="52"/>
        <v>64.56666666671236</v>
      </c>
      <c r="AF152" s="1059">
        <f t="shared" si="52"/>
        <v>49.66666666669166</v>
      </c>
      <c r="AG152" s="1059">
        <f t="shared" si="52"/>
        <v>56.28888888886522</v>
      </c>
      <c r="AH152" s="1059">
        <f t="shared" si="52"/>
        <v>60.42777777772954</v>
      </c>
      <c r="AI152" s="1060">
        <f t="shared" si="52"/>
        <v>45.527777777761145</v>
      </c>
      <c r="AJ152" s="1060">
        <f t="shared" si="52"/>
        <v>52.15</v>
      </c>
      <c r="AK152" s="1060">
        <f t="shared" si="52"/>
        <v>56.28888888886522</v>
      </c>
    </row>
    <row r="153" spans="8:8" ht="15.75" customHeight="1">
      <c r="D153" s="1049">
        <f t="shared" si="44"/>
        <v>0.4166666666666928</v>
      </c>
      <c r="E153" s="1050">
        <f t="shared" si="41"/>
        <v>119.16666666667413</v>
      </c>
      <c r="F153" s="1050">
        <f t="shared" si="42"/>
        <v>125.83333333334122</v>
      </c>
      <c r="G153" s="1050">
        <f t="shared" si="42"/>
        <v>130.00000000000816</v>
      </c>
      <c r="H153" s="1051">
        <f t="shared" si="51"/>
        <v>110.83333333331011</v>
      </c>
      <c r="I153" s="1051">
        <f t="shared" si="51"/>
        <v>117.50000000006966</v>
      </c>
      <c r="J153" s="1051">
        <f t="shared" si="51"/>
        <v>121.66666666668988</v>
      </c>
      <c r="K153" s="1052">
        <f t="shared" si="51"/>
        <v>102.50000000006966</v>
      </c>
      <c r="L153" s="1052">
        <f t="shared" si="51"/>
        <v>109.16666666662023</v>
      </c>
      <c r="M153" s="1052">
        <f t="shared" si="51"/>
        <v>113.33333333324944</v>
      </c>
      <c r="N153" s="1053">
        <f t="shared" si="51"/>
        <v>75.0</v>
      </c>
      <c r="O153" s="1053">
        <f t="shared" si="51"/>
        <v>81.66666666674637</v>
      </c>
      <c r="P153" s="1053">
        <f t="shared" si="51"/>
        <v>85.83333333337498</v>
      </c>
      <c r="Q153" s="1054">
        <f t="shared" si="51"/>
        <v>70.83333333336758</v>
      </c>
      <c r="R153" s="1054">
        <f t="shared" si="54"/>
        <v>77.49999999994323</v>
      </c>
      <c r="S153" s="1054">
        <f t="shared" si="54"/>
        <v>81.66666666674637</v>
      </c>
      <c r="T153" s="1055">
        <f t="shared" si="53"/>
        <v>66.66666666672995</v>
      </c>
      <c r="U153" s="1055">
        <f t="shared" si="46"/>
        <v>73.33333333331551</v>
      </c>
      <c r="V153" s="1055">
        <f t="shared" si="47"/>
        <v>77.49999999994323</v>
      </c>
      <c r="W153" s="1056">
        <f t="shared" si="48"/>
        <v>62.49999999995734</v>
      </c>
      <c r="X153" s="1056">
        <f t="shared" si="49"/>
        <v>69.1666666666833</v>
      </c>
      <c r="Y153" s="1056">
        <f t="shared" si="50"/>
        <v>73.33333333331551</v>
      </c>
      <c r="Z153" s="1057">
        <f t="shared" si="43"/>
        <v>58.333333333320816</v>
      </c>
      <c r="AA153" s="1057">
        <f t="shared" si="43"/>
        <v>65.00000000004566</v>
      </c>
      <c r="AB153" s="1057">
        <f t="shared" si="43"/>
        <v>69.1666666666833</v>
      </c>
      <c r="AC153" s="1058">
        <f t="shared" si="43"/>
        <v>54.16666666667729</v>
      </c>
      <c r="AD153" s="1058">
        <f t="shared" si="43"/>
        <v>60.83333333328514</v>
      </c>
      <c r="AE153" s="1058">
        <f t="shared" si="52"/>
        <v>65.00000000004566</v>
      </c>
      <c r="AF153" s="1059">
        <f t="shared" si="52"/>
        <v>50.00000000002496</v>
      </c>
      <c r="AG153" s="1059">
        <f t="shared" si="52"/>
        <v>56.66666666664302</v>
      </c>
      <c r="AH153" s="1059">
        <f t="shared" si="52"/>
        <v>60.83333333328514</v>
      </c>
      <c r="AI153" s="1060">
        <f t="shared" si="52"/>
        <v>45.833333333316745</v>
      </c>
      <c r="AJ153" s="1060">
        <f t="shared" si="52"/>
        <v>52.5</v>
      </c>
      <c r="AK153" s="1060">
        <f t="shared" si="52"/>
        <v>56.66666666664302</v>
      </c>
    </row>
    <row r="154" spans="8:8" ht="15.75" customHeight="1">
      <c r="D154" s="1049">
        <f t="shared" si="44"/>
        <v>0.41944444444447077</v>
      </c>
      <c r="E154" s="1050">
        <f t="shared" si="41"/>
        <v>119.96111111111864</v>
      </c>
      <c r="F154" s="1050">
        <f t="shared" si="42"/>
        <v>126.67222222223018</v>
      </c>
      <c r="G154" s="1050">
        <f t="shared" si="42"/>
        <v>130.8666666666749</v>
      </c>
      <c r="H154" s="1051">
        <f t="shared" si="51"/>
        <v>111.5722222221991</v>
      </c>
      <c r="I154" s="1051">
        <f t="shared" si="51"/>
        <v>118.28333333340267</v>
      </c>
      <c r="J154" s="1051">
        <f t="shared" si="51"/>
        <v>122.47777777780088</v>
      </c>
      <c r="K154" s="1052">
        <f t="shared" si="51"/>
        <v>103.18333333340266</v>
      </c>
      <c r="L154" s="1052">
        <f t="shared" si="51"/>
        <v>109.89444444439823</v>
      </c>
      <c r="M154" s="1052">
        <f t="shared" si="51"/>
        <v>114.08888888880544</v>
      </c>
      <c r="N154" s="1053">
        <f t="shared" si="51"/>
        <v>75.5</v>
      </c>
      <c r="O154" s="1053">
        <f t="shared" si="51"/>
        <v>82.21111111119076</v>
      </c>
      <c r="P154" s="1053">
        <f t="shared" si="51"/>
        <v>86.40555555559718</v>
      </c>
      <c r="Q154" s="1054">
        <f t="shared" si="51"/>
        <v>71.30555555558978</v>
      </c>
      <c r="R154" s="1054">
        <f t="shared" si="54"/>
        <v>78.01666666660994</v>
      </c>
      <c r="S154" s="1054">
        <f t="shared" si="54"/>
        <v>82.21111111119076</v>
      </c>
      <c r="T154" s="1055">
        <f t="shared" si="53"/>
        <v>67.11111111117435</v>
      </c>
      <c r="U154" s="1055">
        <f t="shared" si="46"/>
        <v>73.8222222222044</v>
      </c>
      <c r="V154" s="1055">
        <f t="shared" si="47"/>
        <v>78.01666666660994</v>
      </c>
      <c r="W154" s="1056">
        <f t="shared" si="48"/>
        <v>62.91666666662404</v>
      </c>
      <c r="X154" s="1056">
        <f t="shared" si="49"/>
        <v>69.62777777779439</v>
      </c>
      <c r="Y154" s="1056">
        <f t="shared" si="50"/>
        <v>73.8222222222044</v>
      </c>
      <c r="Z154" s="1057">
        <f t="shared" si="43"/>
        <v>58.722222222209716</v>
      </c>
      <c r="AA154" s="1057">
        <f t="shared" si="43"/>
        <v>65.43333333337897</v>
      </c>
      <c r="AB154" s="1057">
        <f t="shared" si="43"/>
        <v>69.62777777779439</v>
      </c>
      <c r="AC154" s="1058">
        <f t="shared" si="43"/>
        <v>54.52777777778839</v>
      </c>
      <c r="AD154" s="1058">
        <f t="shared" si="43"/>
        <v>61.23888888884074</v>
      </c>
      <c r="AE154" s="1058">
        <f t="shared" si="52"/>
        <v>65.43333333337897</v>
      </c>
      <c r="AF154" s="1059">
        <f t="shared" si="52"/>
        <v>50.33333333335826</v>
      </c>
      <c r="AG154" s="1059">
        <f t="shared" si="52"/>
        <v>57.04444444442082</v>
      </c>
      <c r="AH154" s="1059">
        <f t="shared" si="52"/>
        <v>61.23888888884074</v>
      </c>
      <c r="AI154" s="1060">
        <f t="shared" si="52"/>
        <v>46.138888888872344</v>
      </c>
      <c r="AJ154" s="1060">
        <f t="shared" si="52"/>
        <v>52.85</v>
      </c>
      <c r="AK154" s="1060">
        <f t="shared" si="52"/>
        <v>57.04444444442082</v>
      </c>
    </row>
    <row r="155" spans="8:8" ht="15.75" customHeight="1">
      <c r="D155" s="1049">
        <f t="shared" si="44"/>
        <v>0.42222222222224876</v>
      </c>
      <c r="E155" s="1050">
        <f t="shared" si="41"/>
        <v>120.75555555556315</v>
      </c>
      <c r="F155" s="1050">
        <f t="shared" si="42"/>
        <v>127.51111111111912</v>
      </c>
      <c r="G155" s="1050">
        <f t="shared" si="42"/>
        <v>131.73333333334162</v>
      </c>
      <c r="H155" s="1051">
        <f t="shared" si="51"/>
        <v>112.31111111108811</v>
      </c>
      <c r="I155" s="1051">
        <f t="shared" si="51"/>
        <v>119.06666666673567</v>
      </c>
      <c r="J155" s="1051">
        <f t="shared" si="51"/>
        <v>123.28888888891188</v>
      </c>
      <c r="K155" s="1052">
        <f t="shared" si="51"/>
        <v>103.86666666673567</v>
      </c>
      <c r="L155" s="1052">
        <f t="shared" si="51"/>
        <v>110.62222222217622</v>
      </c>
      <c r="M155" s="1052">
        <f t="shared" si="55" ref="H155:Q174">M156-(M$363/360)</f>
        <v>114.84444444436144</v>
      </c>
      <c r="N155" s="1053">
        <f t="shared" si="55"/>
        <v>76.0</v>
      </c>
      <c r="O155" s="1053">
        <f t="shared" si="55"/>
        <v>82.75555555563517</v>
      </c>
      <c r="P155" s="1053">
        <f t="shared" si="55"/>
        <v>86.97777777781938</v>
      </c>
      <c r="Q155" s="1054">
        <f t="shared" si="55"/>
        <v>71.77777777781198</v>
      </c>
      <c r="R155" s="1054">
        <f t="shared" si="54"/>
        <v>78.53333333327663</v>
      </c>
      <c r="S155" s="1054">
        <f t="shared" si="54"/>
        <v>82.75555555563517</v>
      </c>
      <c r="T155" s="1055">
        <f t="shared" si="53"/>
        <v>67.55555555561875</v>
      </c>
      <c r="U155" s="1055">
        <f t="shared" si="46"/>
        <v>74.31111111109331</v>
      </c>
      <c r="V155" s="1055">
        <f t="shared" si="47"/>
        <v>78.53333333327663</v>
      </c>
      <c r="W155" s="1056">
        <f t="shared" si="48"/>
        <v>63.33333333329074</v>
      </c>
      <c r="X155" s="1056">
        <f t="shared" si="49"/>
        <v>70.08888888890549</v>
      </c>
      <c r="Y155" s="1056">
        <f t="shared" si="50"/>
        <v>74.31111111109331</v>
      </c>
      <c r="Z155" s="1057">
        <f t="shared" si="43"/>
        <v>59.111111111098616</v>
      </c>
      <c r="AA155" s="1057">
        <f t="shared" si="43"/>
        <v>65.86666666671226</v>
      </c>
      <c r="AB155" s="1057">
        <f t="shared" si="43"/>
        <v>70.08888888890549</v>
      </c>
      <c r="AC155" s="1058">
        <f t="shared" si="43"/>
        <v>54.88888888889949</v>
      </c>
      <c r="AD155" s="1058">
        <f t="shared" si="43"/>
        <v>61.64444444439634</v>
      </c>
      <c r="AE155" s="1058">
        <f t="shared" si="52"/>
        <v>65.86666666671226</v>
      </c>
      <c r="AF155" s="1059">
        <f t="shared" si="52"/>
        <v>50.66666666669156</v>
      </c>
      <c r="AG155" s="1059">
        <f t="shared" si="52"/>
        <v>57.42222222219862</v>
      </c>
      <c r="AH155" s="1059">
        <f t="shared" si="52"/>
        <v>61.64444444439634</v>
      </c>
      <c r="AI155" s="1060">
        <f t="shared" si="52"/>
        <v>46.444444444427944</v>
      </c>
      <c r="AJ155" s="1060">
        <f t="shared" si="52"/>
        <v>53.199999999999996</v>
      </c>
      <c r="AK155" s="1060">
        <f t="shared" si="52"/>
        <v>57.42222222219862</v>
      </c>
    </row>
    <row r="156" spans="8:8" ht="15.75" customHeight="1">
      <c r="D156" s="1049">
        <f t="shared" si="44"/>
        <v>0.42500000000002675</v>
      </c>
      <c r="E156" s="1050">
        <f t="shared" si="41"/>
        <v>121.55000000000764</v>
      </c>
      <c r="F156" s="1050">
        <f t="shared" si="42"/>
        <v>128.35000000000807</v>
      </c>
      <c r="G156" s="1050">
        <f t="shared" si="42"/>
        <v>132.60000000000835</v>
      </c>
      <c r="H156" s="1051">
        <f t="shared" si="55"/>
        <v>113.0499999999771</v>
      </c>
      <c r="I156" s="1051">
        <f t="shared" si="55"/>
        <v>119.85000000006868</v>
      </c>
      <c r="J156" s="1051">
        <f t="shared" si="55"/>
        <v>124.10000000002289</v>
      </c>
      <c r="K156" s="1052">
        <f t="shared" si="55"/>
        <v>104.55000000006866</v>
      </c>
      <c r="L156" s="1052">
        <f t="shared" si="55"/>
        <v>111.34999999995422</v>
      </c>
      <c r="M156" s="1052">
        <f t="shared" si="55"/>
        <v>115.59999999991744</v>
      </c>
      <c r="N156" s="1053">
        <f t="shared" si="55"/>
        <v>76.5</v>
      </c>
      <c r="O156" s="1053">
        <f t="shared" si="55"/>
        <v>83.30000000007956</v>
      </c>
      <c r="P156" s="1053">
        <f t="shared" si="55"/>
        <v>87.55000000004158</v>
      </c>
      <c r="Q156" s="1054">
        <f t="shared" si="55"/>
        <v>72.25000000003418</v>
      </c>
      <c r="R156" s="1054">
        <f t="shared" si="54"/>
        <v>79.04999999994334</v>
      </c>
      <c r="S156" s="1054">
        <f t="shared" si="54"/>
        <v>83.30000000007956</v>
      </c>
      <c r="T156" s="1055">
        <f t="shared" si="53"/>
        <v>68.00000000006315</v>
      </c>
      <c r="U156" s="1055">
        <f t="shared" si="46"/>
        <v>74.7999999999822</v>
      </c>
      <c r="V156" s="1055">
        <f t="shared" si="47"/>
        <v>79.04999999994334</v>
      </c>
      <c r="W156" s="1056">
        <f t="shared" si="48"/>
        <v>63.74999999995743</v>
      </c>
      <c r="X156" s="1056">
        <f t="shared" si="49"/>
        <v>70.5500000000166</v>
      </c>
      <c r="Y156" s="1056">
        <f t="shared" si="50"/>
        <v>74.7999999999822</v>
      </c>
      <c r="Z156" s="1057">
        <f t="shared" si="43"/>
        <v>59.499999999987516</v>
      </c>
      <c r="AA156" s="1057">
        <f t="shared" si="43"/>
        <v>66.30000000004556</v>
      </c>
      <c r="AB156" s="1057">
        <f t="shared" si="43"/>
        <v>70.5500000000166</v>
      </c>
      <c r="AC156" s="1058">
        <f t="shared" si="43"/>
        <v>55.25000000001059</v>
      </c>
      <c r="AD156" s="1058">
        <f t="shared" si="43"/>
        <v>62.04999999995194</v>
      </c>
      <c r="AE156" s="1058">
        <f t="shared" si="52"/>
        <v>66.30000000004556</v>
      </c>
      <c r="AF156" s="1059">
        <f t="shared" si="52"/>
        <v>51.00000000002486</v>
      </c>
      <c r="AG156" s="1059">
        <f t="shared" si="52"/>
        <v>57.79999999997642</v>
      </c>
      <c r="AH156" s="1059">
        <f t="shared" si="52"/>
        <v>62.04999999995194</v>
      </c>
      <c r="AI156" s="1060">
        <f t="shared" si="52"/>
        <v>46.749999999983544</v>
      </c>
      <c r="AJ156" s="1060">
        <f t="shared" si="52"/>
        <v>53.55</v>
      </c>
      <c r="AK156" s="1060">
        <f t="shared" si="52"/>
        <v>57.79999999997642</v>
      </c>
    </row>
    <row r="157" spans="8:8" ht="15.75" customHeight="1">
      <c r="D157" s="1049">
        <f t="shared" si="44"/>
        <v>0.4277777777778048</v>
      </c>
      <c r="E157" s="1050">
        <f t="shared" si="41"/>
        <v>122.34444444445217</v>
      </c>
      <c r="F157" s="1050">
        <f t="shared" si="42"/>
        <v>129.18888888889705</v>
      </c>
      <c r="G157" s="1050">
        <f t="shared" si="42"/>
        <v>133.46666666667508</v>
      </c>
      <c r="H157" s="1051">
        <f t="shared" si="55"/>
        <v>113.78888888886611</v>
      </c>
      <c r="I157" s="1051">
        <f t="shared" si="55"/>
        <v>120.63333333340167</v>
      </c>
      <c r="J157" s="1051">
        <f t="shared" si="55"/>
        <v>124.91111111113388</v>
      </c>
      <c r="K157" s="1052">
        <f t="shared" si="55"/>
        <v>105.23333333340166</v>
      </c>
      <c r="L157" s="1052">
        <f t="shared" si="55"/>
        <v>112.07777777773222</v>
      </c>
      <c r="M157" s="1052">
        <f t="shared" si="55"/>
        <v>116.35555555547344</v>
      </c>
      <c r="N157" s="1053">
        <f t="shared" si="55"/>
        <v>77.0</v>
      </c>
      <c r="O157" s="1053">
        <f t="shared" si="55"/>
        <v>83.84444444452396</v>
      </c>
      <c r="P157" s="1053">
        <f t="shared" si="55"/>
        <v>88.12222222226377</v>
      </c>
      <c r="Q157" s="1054">
        <f t="shared" si="55"/>
        <v>72.72222222225638</v>
      </c>
      <c r="R157" s="1054">
        <f t="shared" si="54"/>
        <v>79.56666666661003</v>
      </c>
      <c r="S157" s="1054">
        <f t="shared" si="54"/>
        <v>83.84444444452396</v>
      </c>
      <c r="T157" s="1055">
        <f t="shared" si="53"/>
        <v>68.44444444450755</v>
      </c>
      <c r="U157" s="1055">
        <f t="shared" si="46"/>
        <v>75.2888888888711</v>
      </c>
      <c r="V157" s="1055">
        <f t="shared" si="47"/>
        <v>79.56666666661003</v>
      </c>
      <c r="W157" s="1056">
        <f t="shared" si="48"/>
        <v>64.16666666662412</v>
      </c>
      <c r="X157" s="1056">
        <f t="shared" si="49"/>
        <v>71.01111111112769</v>
      </c>
      <c r="Y157" s="1056">
        <f t="shared" si="50"/>
        <v>75.2888888888711</v>
      </c>
      <c r="Z157" s="1057">
        <f t="shared" si="43"/>
        <v>59.888888888876416</v>
      </c>
      <c r="AA157" s="1057">
        <f t="shared" si="43"/>
        <v>66.73333333337887</v>
      </c>
      <c r="AB157" s="1057">
        <f t="shared" si="43"/>
        <v>71.01111111112769</v>
      </c>
      <c r="AC157" s="1058">
        <f t="shared" si="43"/>
        <v>55.61111111112169</v>
      </c>
      <c r="AD157" s="1058">
        <f t="shared" si="43"/>
        <v>62.455555555507544</v>
      </c>
      <c r="AE157" s="1058">
        <f t="shared" si="52"/>
        <v>66.73333333337887</v>
      </c>
      <c r="AF157" s="1059">
        <f t="shared" si="52"/>
        <v>51.33333333335816</v>
      </c>
      <c r="AG157" s="1059">
        <f t="shared" si="52"/>
        <v>58.17777777775422</v>
      </c>
      <c r="AH157" s="1059">
        <f t="shared" si="52"/>
        <v>62.455555555507544</v>
      </c>
      <c r="AI157" s="1060">
        <f t="shared" si="52"/>
        <v>47.055555555539144</v>
      </c>
      <c r="AJ157" s="1060">
        <f t="shared" si="52"/>
        <v>53.9</v>
      </c>
      <c r="AK157" s="1060">
        <f t="shared" si="52"/>
        <v>58.17777777775422</v>
      </c>
    </row>
    <row r="158" spans="8:8" ht="15.75" customHeight="1">
      <c r="D158" s="1049">
        <f t="shared" si="44"/>
        <v>0.4305555555555828</v>
      </c>
      <c r="E158" s="1050">
        <f t="shared" si="41"/>
        <v>123.13888888889667</v>
      </c>
      <c r="F158" s="1050">
        <f t="shared" si="42"/>
        <v>130.027777777786</v>
      </c>
      <c r="G158" s="1050">
        <f t="shared" si="42"/>
        <v>134.33333333334184</v>
      </c>
      <c r="H158" s="1051">
        <f t="shared" si="55"/>
        <v>114.5277777777551</v>
      </c>
      <c r="I158" s="1051">
        <f t="shared" si="55"/>
        <v>121.41666666673467</v>
      </c>
      <c r="J158" s="1051">
        <f t="shared" si="55"/>
        <v>125.72222222224488</v>
      </c>
      <c r="K158" s="1052">
        <f t="shared" si="55"/>
        <v>105.91666666673466</v>
      </c>
      <c r="L158" s="1052">
        <f t="shared" si="55"/>
        <v>112.80555555551022</v>
      </c>
      <c r="M158" s="1052">
        <f t="shared" si="55"/>
        <v>117.11111111102944</v>
      </c>
      <c r="N158" s="1053">
        <f t="shared" si="55"/>
        <v>77.5</v>
      </c>
      <c r="O158" s="1053">
        <f t="shared" si="55"/>
        <v>84.38888888896837</v>
      </c>
      <c r="P158" s="1053">
        <f t="shared" si="55"/>
        <v>88.69444444448598</v>
      </c>
      <c r="Q158" s="1054">
        <f t="shared" si="55"/>
        <v>73.19444444447858</v>
      </c>
      <c r="R158" s="1054">
        <f t="shared" si="54"/>
        <v>80.08333333327674</v>
      </c>
      <c r="S158" s="1054">
        <f t="shared" si="54"/>
        <v>84.38888888896837</v>
      </c>
      <c r="T158" s="1055">
        <f t="shared" si="53"/>
        <v>68.88888888895195</v>
      </c>
      <c r="U158" s="1055">
        <f t="shared" si="46"/>
        <v>75.77777777776001</v>
      </c>
      <c r="V158" s="1055">
        <f t="shared" si="47"/>
        <v>80.08333333327674</v>
      </c>
      <c r="W158" s="1056">
        <f t="shared" si="48"/>
        <v>64.58333333329082</v>
      </c>
      <c r="X158" s="1056">
        <f t="shared" si="49"/>
        <v>71.4722222222388</v>
      </c>
      <c r="Y158" s="1056">
        <f t="shared" si="50"/>
        <v>75.77777777776001</v>
      </c>
      <c r="Z158" s="1057">
        <f t="shared" si="43"/>
        <v>60.277777777765316</v>
      </c>
      <c r="AA158" s="1057">
        <f t="shared" si="43"/>
        <v>67.16666666671216</v>
      </c>
      <c r="AB158" s="1057">
        <f t="shared" si="43"/>
        <v>71.4722222222388</v>
      </c>
      <c r="AC158" s="1058">
        <f t="shared" si="43"/>
        <v>55.97222222223279</v>
      </c>
      <c r="AD158" s="1058">
        <f t="shared" si="43"/>
        <v>62.86111111106314</v>
      </c>
      <c r="AE158" s="1058">
        <f t="shared" si="52"/>
        <v>67.16666666671216</v>
      </c>
      <c r="AF158" s="1059">
        <f t="shared" si="52"/>
        <v>51.66666666669146</v>
      </c>
      <c r="AG158" s="1059">
        <f t="shared" si="52"/>
        <v>58.55555555553202</v>
      </c>
      <c r="AH158" s="1059">
        <f t="shared" si="52"/>
        <v>62.86111111106314</v>
      </c>
      <c r="AI158" s="1060">
        <f t="shared" si="52"/>
        <v>47.36111111109474</v>
      </c>
      <c r="AJ158" s="1060">
        <f t="shared" si="52"/>
        <v>54.25</v>
      </c>
      <c r="AK158" s="1060">
        <f t="shared" si="52"/>
        <v>58.55555555553202</v>
      </c>
    </row>
    <row r="159" spans="8:8" ht="15.75" customHeight="1">
      <c r="D159" s="1049">
        <f t="shared" si="44"/>
        <v>0.43333333333336077</v>
      </c>
      <c r="E159" s="1050">
        <f t="shared" si="41"/>
        <v>123.93333333334118</v>
      </c>
      <c r="F159" s="1050">
        <f t="shared" si="42"/>
        <v>130.86666666667494</v>
      </c>
      <c r="G159" s="1050">
        <f t="shared" si="42"/>
        <v>135.20000000000857</v>
      </c>
      <c r="H159" s="1051">
        <f t="shared" si="55"/>
        <v>115.2666666666441</v>
      </c>
      <c r="I159" s="1051">
        <f t="shared" si="55"/>
        <v>122.20000000006767</v>
      </c>
      <c r="J159" s="1051">
        <f t="shared" si="55"/>
        <v>126.53333333335588</v>
      </c>
      <c r="K159" s="1052">
        <f t="shared" si="55"/>
        <v>106.60000000006767</v>
      </c>
      <c r="L159" s="1052">
        <f t="shared" si="55"/>
        <v>113.53333333328823</v>
      </c>
      <c r="M159" s="1052">
        <f t="shared" si="55"/>
        <v>117.86666666658545</v>
      </c>
      <c r="N159" s="1053">
        <f t="shared" si="55"/>
        <v>78.0</v>
      </c>
      <c r="O159" s="1053">
        <f t="shared" si="55"/>
        <v>84.93333333341276</v>
      </c>
      <c r="P159" s="1053">
        <f t="shared" si="55"/>
        <v>89.26666666670818</v>
      </c>
      <c r="Q159" s="1054">
        <f t="shared" si="55"/>
        <v>73.66666666670078</v>
      </c>
      <c r="R159" s="1054">
        <f t="shared" si="54"/>
        <v>80.59999999994344</v>
      </c>
      <c r="S159" s="1054">
        <f t="shared" si="54"/>
        <v>84.93333333341276</v>
      </c>
      <c r="T159" s="1055">
        <f t="shared" si="53"/>
        <v>69.33333333339635</v>
      </c>
      <c r="U159" s="1055">
        <f t="shared" si="46"/>
        <v>76.2666666666489</v>
      </c>
      <c r="V159" s="1055">
        <f t="shared" si="47"/>
        <v>80.59999999994344</v>
      </c>
      <c r="W159" s="1056">
        <f t="shared" si="48"/>
        <v>64.99999999995752</v>
      </c>
      <c r="X159" s="1056">
        <f t="shared" si="49"/>
        <v>71.93333333334989</v>
      </c>
      <c r="Y159" s="1056">
        <f t="shared" si="50"/>
        <v>76.2666666666489</v>
      </c>
      <c r="Z159" s="1057">
        <f t="shared" si="43"/>
        <v>60.666666666654216</v>
      </c>
      <c r="AA159" s="1057">
        <f t="shared" si="43"/>
        <v>67.60000000004547</v>
      </c>
      <c r="AB159" s="1057">
        <f t="shared" si="43"/>
        <v>71.93333333334989</v>
      </c>
      <c r="AC159" s="1058">
        <f t="shared" si="43"/>
        <v>56.33333333334389</v>
      </c>
      <c r="AD159" s="1058">
        <f t="shared" si="43"/>
        <v>63.26666666661874</v>
      </c>
      <c r="AE159" s="1058">
        <f t="shared" si="52"/>
        <v>67.60000000004547</v>
      </c>
      <c r="AF159" s="1059">
        <f t="shared" si="52"/>
        <v>52.00000000002476</v>
      </c>
      <c r="AG159" s="1059">
        <f t="shared" si="52"/>
        <v>58.93333333330982</v>
      </c>
      <c r="AH159" s="1059">
        <f t="shared" si="52"/>
        <v>63.26666666661874</v>
      </c>
      <c r="AI159" s="1060">
        <f t="shared" si="52"/>
        <v>47.66666666665034</v>
      </c>
      <c r="AJ159" s="1060">
        <f t="shared" si="52"/>
        <v>54.6</v>
      </c>
      <c r="AK159" s="1060">
        <f t="shared" si="52"/>
        <v>58.93333333330982</v>
      </c>
    </row>
    <row r="160" spans="8:8" ht="15.75" customHeight="1">
      <c r="D160" s="1049">
        <f t="shared" si="44"/>
        <v>0.43611111111113876</v>
      </c>
      <c r="E160" s="1050">
        <f t="shared" si="41"/>
        <v>124.72777777778569</v>
      </c>
      <c r="F160" s="1050">
        <f t="shared" si="42"/>
        <v>131.7055555555639</v>
      </c>
      <c r="G160" s="1050">
        <f t="shared" si="42"/>
        <v>136.0666666666753</v>
      </c>
      <c r="H160" s="1051">
        <f t="shared" si="55"/>
        <v>116.0055555555331</v>
      </c>
      <c r="I160" s="1051">
        <f t="shared" si="55"/>
        <v>122.98333333340067</v>
      </c>
      <c r="J160" s="1051">
        <f t="shared" si="55"/>
        <v>127.34444444446687</v>
      </c>
      <c r="K160" s="1052">
        <f t="shared" si="55"/>
        <v>107.28333333340066</v>
      </c>
      <c r="L160" s="1052">
        <f t="shared" si="55"/>
        <v>114.26111111106623</v>
      </c>
      <c r="M160" s="1052">
        <f t="shared" si="55"/>
        <v>118.62222222214145</v>
      </c>
      <c r="N160" s="1053">
        <f t="shared" si="55"/>
        <v>78.5</v>
      </c>
      <c r="O160" s="1053">
        <f t="shared" si="55"/>
        <v>85.47777777785716</v>
      </c>
      <c r="P160" s="1053">
        <f t="shared" si="55"/>
        <v>89.83888888893037</v>
      </c>
      <c r="Q160" s="1054">
        <f t="shared" si="55"/>
        <v>74.13888888892298</v>
      </c>
      <c r="R160" s="1054">
        <f t="shared" si="54"/>
        <v>81.11666666661013</v>
      </c>
      <c r="S160" s="1054">
        <f t="shared" si="54"/>
        <v>85.47777777785716</v>
      </c>
      <c r="T160" s="1055">
        <f t="shared" si="53"/>
        <v>69.77777777784075</v>
      </c>
      <c r="U160" s="1055">
        <f t="shared" si="46"/>
        <v>76.75555555553781</v>
      </c>
      <c r="V160" s="1055">
        <f t="shared" si="47"/>
        <v>81.11666666661013</v>
      </c>
      <c r="W160" s="1056">
        <f t="shared" si="48"/>
        <v>65.41666666662422</v>
      </c>
      <c r="X160" s="1056">
        <f t="shared" si="49"/>
        <v>72.39444444446099</v>
      </c>
      <c r="Y160" s="1056">
        <f t="shared" si="50"/>
        <v>76.75555555553781</v>
      </c>
      <c r="Z160" s="1057">
        <f t="shared" si="43"/>
        <v>61.055555555543116</v>
      </c>
      <c r="AA160" s="1057">
        <f t="shared" si="43"/>
        <v>68.03333333337876</v>
      </c>
      <c r="AB160" s="1057">
        <f t="shared" si="43"/>
        <v>72.39444444446099</v>
      </c>
      <c r="AC160" s="1058">
        <f t="shared" si="43"/>
        <v>56.69444444445499</v>
      </c>
      <c r="AD160" s="1058">
        <f t="shared" si="43"/>
        <v>63.67222222217425</v>
      </c>
      <c r="AE160" s="1058">
        <f t="shared" si="52"/>
        <v>68.03333333337876</v>
      </c>
      <c r="AF160" s="1059">
        <f t="shared" si="52"/>
        <v>52.33333333335806</v>
      </c>
      <c r="AG160" s="1059">
        <f t="shared" si="52"/>
        <v>59.31111111108762</v>
      </c>
      <c r="AH160" s="1059">
        <f t="shared" si="52"/>
        <v>63.67222222217425</v>
      </c>
      <c r="AI160" s="1060">
        <f t="shared" si="52"/>
        <v>47.97222222220594</v>
      </c>
      <c r="AJ160" s="1060">
        <f t="shared" si="52"/>
        <v>54.949999999999996</v>
      </c>
      <c r="AK160" s="1060">
        <f t="shared" si="52"/>
        <v>59.31111111108762</v>
      </c>
    </row>
    <row r="161" spans="8:8" ht="15.75" customHeight="1">
      <c r="D161" s="1049">
        <f t="shared" si="44"/>
        <v>0.43888888888891675</v>
      </c>
      <c r="E161" s="1050">
        <f t="shared" si="41"/>
        <v>125.52222222223018</v>
      </c>
      <c r="F161" s="1050">
        <f t="shared" si="42"/>
        <v>132.54444444445286</v>
      </c>
      <c r="G161" s="1050">
        <f t="shared" si="42"/>
        <v>136.93333333334203</v>
      </c>
      <c r="H161" s="1051">
        <f t="shared" si="55"/>
        <v>116.7444444444221</v>
      </c>
      <c r="I161" s="1051">
        <f t="shared" si="55"/>
        <v>123.76666666673367</v>
      </c>
      <c r="J161" s="1051">
        <f t="shared" si="55"/>
        <v>128.1555555555779</v>
      </c>
      <c r="K161" s="1052">
        <f t="shared" si="55"/>
        <v>107.96666666673366</v>
      </c>
      <c r="L161" s="1052">
        <f t="shared" si="55"/>
        <v>114.98888888884423</v>
      </c>
      <c r="M161" s="1052">
        <f t="shared" si="55"/>
        <v>119.37777777769745</v>
      </c>
      <c r="N161" s="1053">
        <f t="shared" si="55"/>
        <v>79.0</v>
      </c>
      <c r="O161" s="1053">
        <f t="shared" si="55"/>
        <v>86.02222222230156</v>
      </c>
      <c r="P161" s="1053">
        <f t="shared" si="55"/>
        <v>90.41111111115258</v>
      </c>
      <c r="Q161" s="1054">
        <f t="shared" si="55"/>
        <v>74.61111111114518</v>
      </c>
      <c r="R161" s="1054">
        <f t="shared" si="54"/>
        <v>81.63333333327684</v>
      </c>
      <c r="S161" s="1054">
        <f t="shared" si="54"/>
        <v>86.02222222230156</v>
      </c>
      <c r="T161" s="1055">
        <f t="shared" si="53"/>
        <v>70.22222222228515</v>
      </c>
      <c r="U161" s="1055">
        <f t="shared" si="46"/>
        <v>77.2444444444267</v>
      </c>
      <c r="V161" s="1055">
        <f t="shared" si="47"/>
        <v>81.63333333327684</v>
      </c>
      <c r="W161" s="1056">
        <f t="shared" si="48"/>
        <v>65.83333333329092</v>
      </c>
      <c r="X161" s="1056">
        <f t="shared" si="49"/>
        <v>72.8555555555721</v>
      </c>
      <c r="Y161" s="1056">
        <f t="shared" si="50"/>
        <v>77.2444444444267</v>
      </c>
      <c r="Z161" s="1057">
        <f t="shared" si="43"/>
        <v>61.444444444432015</v>
      </c>
      <c r="AA161" s="1057">
        <f t="shared" si="43"/>
        <v>68.46666666671206</v>
      </c>
      <c r="AB161" s="1057">
        <f t="shared" si="43"/>
        <v>72.8555555555721</v>
      </c>
      <c r="AC161" s="1058">
        <f t="shared" si="43"/>
        <v>57.05555555556609</v>
      </c>
      <c r="AD161" s="1058">
        <f t="shared" si="43"/>
        <v>64.07777777772975</v>
      </c>
      <c r="AE161" s="1058">
        <f t="shared" si="52"/>
        <v>68.46666666671206</v>
      </c>
      <c r="AF161" s="1059">
        <f t="shared" si="52"/>
        <v>52.66666666669136</v>
      </c>
      <c r="AG161" s="1059">
        <f t="shared" si="52"/>
        <v>59.68888888886542</v>
      </c>
      <c r="AH161" s="1059">
        <f t="shared" si="52"/>
        <v>64.07777777772975</v>
      </c>
      <c r="AI161" s="1060">
        <f t="shared" si="52"/>
        <v>48.27777777776154</v>
      </c>
      <c r="AJ161" s="1060">
        <f t="shared" si="52"/>
        <v>55.3</v>
      </c>
      <c r="AK161" s="1060">
        <f t="shared" si="52"/>
        <v>59.68888888886542</v>
      </c>
    </row>
    <row r="162" spans="8:8" ht="15.75" customHeight="1">
      <c r="D162" s="1049">
        <f t="shared" si="44"/>
        <v>0.44166666666669474</v>
      </c>
      <c r="E162" s="1050">
        <f t="shared" si="41"/>
        <v>126.31666666667469</v>
      </c>
      <c r="F162" s="1050">
        <f t="shared" si="42"/>
        <v>133.38333333334182</v>
      </c>
      <c r="G162" s="1050">
        <f t="shared" si="42"/>
        <v>137.80000000000877</v>
      </c>
      <c r="H162" s="1051">
        <f t="shared" si="55"/>
        <v>117.48333333331111</v>
      </c>
      <c r="I162" s="1051">
        <f t="shared" si="55"/>
        <v>124.55000000006667</v>
      </c>
      <c r="J162" s="1051">
        <f t="shared" si="55"/>
        <v>128.9666666666889</v>
      </c>
      <c r="K162" s="1052">
        <f t="shared" si="55"/>
        <v>108.65000000006667</v>
      </c>
      <c r="L162" s="1052">
        <f t="shared" si="55"/>
        <v>115.71666666662223</v>
      </c>
      <c r="M162" s="1052">
        <f t="shared" si="55"/>
        <v>120.13333333325345</v>
      </c>
      <c r="N162" s="1053">
        <f t="shared" si="55"/>
        <v>79.5</v>
      </c>
      <c r="O162" s="1053">
        <f t="shared" si="55"/>
        <v>86.56666666674596</v>
      </c>
      <c r="P162" s="1053">
        <f t="shared" si="55"/>
        <v>90.98333333337477</v>
      </c>
      <c r="Q162" s="1054">
        <f t="shared" si="55"/>
        <v>75.08333333336738</v>
      </c>
      <c r="R162" s="1054">
        <f t="shared" si="54"/>
        <v>82.14999999994353</v>
      </c>
      <c r="S162" s="1054">
        <f t="shared" si="54"/>
        <v>86.56666666674596</v>
      </c>
      <c r="T162" s="1055">
        <f t="shared" si="53"/>
        <v>70.66666666672955</v>
      </c>
      <c r="U162" s="1055">
        <f t="shared" si="46"/>
        <v>77.7333333333156</v>
      </c>
      <c r="V162" s="1055">
        <f t="shared" si="47"/>
        <v>82.14999999994353</v>
      </c>
      <c r="W162" s="1056">
        <f t="shared" si="48"/>
        <v>66.24999999995762</v>
      </c>
      <c r="X162" s="1056">
        <f t="shared" si="49"/>
        <v>73.31666666668319</v>
      </c>
      <c r="Y162" s="1056">
        <f t="shared" si="50"/>
        <v>77.7333333333156</v>
      </c>
      <c r="Z162" s="1057">
        <f t="shared" si="43"/>
        <v>61.833333333320915</v>
      </c>
      <c r="AA162" s="1057">
        <f t="shared" si="43"/>
        <v>68.90000000004537</v>
      </c>
      <c r="AB162" s="1057">
        <f t="shared" si="43"/>
        <v>73.31666666668319</v>
      </c>
      <c r="AC162" s="1058">
        <f t="shared" si="43"/>
        <v>57.41666666667719</v>
      </c>
      <c r="AD162" s="1058">
        <f t="shared" si="43"/>
        <v>64.48333333328534</v>
      </c>
      <c r="AE162" s="1058">
        <f t="shared" si="52"/>
        <v>68.90000000004537</v>
      </c>
      <c r="AF162" s="1059">
        <f t="shared" si="52"/>
        <v>53.00000000002466</v>
      </c>
      <c r="AG162" s="1059">
        <f t="shared" si="52"/>
        <v>60.06666666664322</v>
      </c>
      <c r="AH162" s="1059">
        <f t="shared" si="52"/>
        <v>64.48333333328534</v>
      </c>
      <c r="AI162" s="1060">
        <f t="shared" si="52"/>
        <v>48.58333333331714</v>
      </c>
      <c r="AJ162" s="1060">
        <f t="shared" si="52"/>
        <v>55.65</v>
      </c>
      <c r="AK162" s="1060">
        <f t="shared" si="52"/>
        <v>60.06666666664322</v>
      </c>
    </row>
    <row r="163" spans="8:8" ht="15.75" customHeight="1">
      <c r="D163" s="1049">
        <f t="shared" si="44"/>
        <v>0.4444444444444728</v>
      </c>
      <c r="E163" s="1050">
        <f t="shared" si="41"/>
        <v>127.11111111111921</v>
      </c>
      <c r="F163" s="1050">
        <f t="shared" si="42"/>
        <v>134.22222222223078</v>
      </c>
      <c r="G163" s="1050">
        <f t="shared" si="42"/>
        <v>138.6666666666755</v>
      </c>
      <c r="H163" s="1051">
        <f t="shared" si="55"/>
        <v>118.2222222222001</v>
      </c>
      <c r="I163" s="1051">
        <f t="shared" si="55"/>
        <v>125.33333333339966</v>
      </c>
      <c r="J163" s="1051">
        <f t="shared" si="55"/>
        <v>129.77777777779988</v>
      </c>
      <c r="K163" s="1052">
        <f t="shared" si="55"/>
        <v>109.33333333339966</v>
      </c>
      <c r="L163" s="1052">
        <f t="shared" si="55"/>
        <v>116.44444444440022</v>
      </c>
      <c r="M163" s="1052">
        <f t="shared" si="55"/>
        <v>120.88888888880945</v>
      </c>
      <c r="N163" s="1053">
        <f t="shared" si="55"/>
        <v>80.0</v>
      </c>
      <c r="O163" s="1053">
        <f t="shared" si="55"/>
        <v>87.11111111119037</v>
      </c>
      <c r="P163" s="1053">
        <f t="shared" si="55"/>
        <v>91.55555555559698</v>
      </c>
      <c r="Q163" s="1054">
        <f t="shared" si="55"/>
        <v>75.55555555558958</v>
      </c>
      <c r="R163" s="1054">
        <f t="shared" si="54"/>
        <v>82.66666666661024</v>
      </c>
      <c r="S163" s="1054">
        <f t="shared" si="54"/>
        <v>87.11111111119037</v>
      </c>
      <c r="T163" s="1055">
        <f t="shared" si="53"/>
        <v>71.11111111117395</v>
      </c>
      <c r="U163" s="1055">
        <f t="shared" si="46"/>
        <v>78.22222222220451</v>
      </c>
      <c r="V163" s="1055">
        <f t="shared" si="47"/>
        <v>82.66666666661024</v>
      </c>
      <c r="W163" s="1056">
        <f t="shared" si="48"/>
        <v>66.66666666662432</v>
      </c>
      <c r="X163" s="1056">
        <f t="shared" si="49"/>
        <v>73.77777777779428</v>
      </c>
      <c r="Y163" s="1056">
        <f t="shared" si="50"/>
        <v>78.22222222220451</v>
      </c>
      <c r="Z163" s="1057">
        <f t="shared" si="43"/>
        <v>62.222222222209815</v>
      </c>
      <c r="AA163" s="1057">
        <f t="shared" si="43"/>
        <v>69.33333333337866</v>
      </c>
      <c r="AB163" s="1057">
        <f t="shared" si="43"/>
        <v>73.77777777779428</v>
      </c>
      <c r="AC163" s="1058">
        <f t="shared" si="43"/>
        <v>57.77777777778829</v>
      </c>
      <c r="AD163" s="1058">
        <f t="shared" si="43"/>
        <v>64.88888888884085</v>
      </c>
      <c r="AE163" s="1058">
        <f t="shared" si="52"/>
        <v>69.33333333337866</v>
      </c>
      <c r="AF163" s="1059">
        <f t="shared" si="52"/>
        <v>53.33333333335796</v>
      </c>
      <c r="AG163" s="1059">
        <f t="shared" si="52"/>
        <v>60.44444444442102</v>
      </c>
      <c r="AH163" s="1059">
        <f t="shared" si="52"/>
        <v>64.88888888884085</v>
      </c>
      <c r="AI163" s="1060">
        <f t="shared" si="52"/>
        <v>48.88888888887274</v>
      </c>
      <c r="AJ163" s="1060">
        <f t="shared" si="52"/>
        <v>56.0</v>
      </c>
      <c r="AK163" s="1060">
        <f t="shared" si="52"/>
        <v>60.44444444442102</v>
      </c>
    </row>
    <row r="164" spans="8:8" ht="15.75" customHeight="1">
      <c r="D164" s="1049">
        <f t="shared" si="44"/>
        <v>0.4472222222222508</v>
      </c>
      <c r="E164" s="1050">
        <f t="shared" si="41"/>
        <v>127.90555555556372</v>
      </c>
      <c r="F164" s="1050">
        <f t="shared" si="42"/>
        <v>135.06111111111974</v>
      </c>
      <c r="G164" s="1050">
        <f t="shared" si="42"/>
        <v>139.53333333334226</v>
      </c>
      <c r="H164" s="1051">
        <f t="shared" si="55"/>
        <v>118.96111111108911</v>
      </c>
      <c r="I164" s="1051">
        <f t="shared" si="55"/>
        <v>126.11666666673267</v>
      </c>
      <c r="J164" s="1051">
        <f t="shared" si="55"/>
        <v>130.5888888889109</v>
      </c>
      <c r="K164" s="1052">
        <f t="shared" si="55"/>
        <v>110.01666666673266</v>
      </c>
      <c r="L164" s="1052">
        <f t="shared" si="55"/>
        <v>117.17222222217822</v>
      </c>
      <c r="M164" s="1052">
        <f t="shared" si="55"/>
        <v>121.64444444436543</v>
      </c>
      <c r="N164" s="1053">
        <f t="shared" si="55"/>
        <v>80.5</v>
      </c>
      <c r="O164" s="1053">
        <f t="shared" si="55"/>
        <v>87.65555555563476</v>
      </c>
      <c r="P164" s="1053">
        <f t="shared" si="55"/>
        <v>92.12777777781918</v>
      </c>
      <c r="Q164" s="1054">
        <f t="shared" si="55"/>
        <v>76.02777777781178</v>
      </c>
      <c r="R164" s="1054">
        <f t="shared" si="54"/>
        <v>83.18333333327693</v>
      </c>
      <c r="S164" s="1054">
        <f t="shared" si="54"/>
        <v>87.65555555563476</v>
      </c>
      <c r="T164" s="1055">
        <f t="shared" si="53"/>
        <v>71.55555555561835</v>
      </c>
      <c r="U164" s="1055">
        <f t="shared" si="46"/>
        <v>78.7111111110934</v>
      </c>
      <c r="V164" s="1055">
        <f t="shared" si="47"/>
        <v>83.18333333327693</v>
      </c>
      <c r="W164" s="1056">
        <f t="shared" si="48"/>
        <v>67.08333333329102</v>
      </c>
      <c r="X164" s="1056">
        <f t="shared" si="49"/>
        <v>74.2388888889054</v>
      </c>
      <c r="Y164" s="1056">
        <f t="shared" si="50"/>
        <v>78.7111111110934</v>
      </c>
      <c r="Z164" s="1057">
        <f t="shared" si="56" ref="Z164:AD167">Z165-(Z$363/360)</f>
        <v>62.611111111098715</v>
      </c>
      <c r="AA164" s="1057">
        <f t="shared" si="56"/>
        <v>69.76666666671197</v>
      </c>
      <c r="AB164" s="1057">
        <f t="shared" si="56"/>
        <v>74.2388888889054</v>
      </c>
      <c r="AC164" s="1058">
        <f t="shared" si="56"/>
        <v>58.13888888889939</v>
      </c>
      <c r="AD164" s="1058">
        <f t="shared" si="56"/>
        <v>65.29444444439635</v>
      </c>
      <c r="AE164" s="1058">
        <f t="shared" si="52"/>
        <v>69.76666666671197</v>
      </c>
      <c r="AF164" s="1059">
        <f t="shared" si="52"/>
        <v>53.66666666669126</v>
      </c>
      <c r="AG164" s="1059">
        <f t="shared" si="52"/>
        <v>60.82222222219882</v>
      </c>
      <c r="AH164" s="1059">
        <f t="shared" si="52"/>
        <v>65.29444444439635</v>
      </c>
      <c r="AI164" s="1060">
        <f t="shared" si="52"/>
        <v>49.19444444442834</v>
      </c>
      <c r="AJ164" s="1060">
        <f t="shared" si="52"/>
        <v>56.35</v>
      </c>
      <c r="AK164" s="1060">
        <f t="shared" si="52"/>
        <v>60.82222222219882</v>
      </c>
    </row>
    <row r="165" spans="8:8" ht="15.75" customHeight="1">
      <c r="D165" s="1049">
        <f t="shared" si="44"/>
        <v>0.45000000000002877</v>
      </c>
      <c r="E165" s="1050">
        <f t="shared" si="41"/>
        <v>128.70000000000823</v>
      </c>
      <c r="F165" s="1050">
        <f t="shared" si="42"/>
        <v>135.90000000000867</v>
      </c>
      <c r="G165" s="1050">
        <f t="shared" si="42"/>
        <v>140.400000000009</v>
      </c>
      <c r="H165" s="1051">
        <f t="shared" si="55"/>
        <v>119.6999999999781</v>
      </c>
      <c r="I165" s="1051">
        <f t="shared" si="55"/>
        <v>126.90000000006567</v>
      </c>
      <c r="J165" s="1051">
        <f t="shared" si="55"/>
        <v>131.4000000000219</v>
      </c>
      <c r="K165" s="1052">
        <f t="shared" si="55"/>
        <v>110.70000000006566</v>
      </c>
      <c r="L165" s="1052">
        <f t="shared" si="55"/>
        <v>117.89999999995622</v>
      </c>
      <c r="M165" s="1052">
        <f t="shared" si="55"/>
        <v>122.39999999992143</v>
      </c>
      <c r="N165" s="1053">
        <f t="shared" si="55"/>
        <v>81.0</v>
      </c>
      <c r="O165" s="1053">
        <f t="shared" si="55"/>
        <v>88.20000000007916</v>
      </c>
      <c r="P165" s="1053">
        <f t="shared" si="55"/>
        <v>92.70000000004137</v>
      </c>
      <c r="Q165" s="1054">
        <f t="shared" si="55"/>
        <v>76.50000000003398</v>
      </c>
      <c r="R165" s="1054">
        <f t="shared" si="54"/>
        <v>83.69999999994363</v>
      </c>
      <c r="S165" s="1054">
        <f t="shared" si="54"/>
        <v>88.20000000007916</v>
      </c>
      <c r="T165" s="1055">
        <f t="shared" si="53"/>
        <v>72.00000000006276</v>
      </c>
      <c r="U165" s="1055">
        <f t="shared" si="46"/>
        <v>79.19999999998231</v>
      </c>
      <c r="V165" s="1055">
        <f t="shared" si="47"/>
        <v>83.69999999994363</v>
      </c>
      <c r="W165" s="1056">
        <f t="shared" si="48"/>
        <v>67.49999999995772</v>
      </c>
      <c r="X165" s="1056">
        <f t="shared" si="49"/>
        <v>74.70000000001649</v>
      </c>
      <c r="Y165" s="1056">
        <f t="shared" si="50"/>
        <v>79.19999999998231</v>
      </c>
      <c r="Z165" s="1057">
        <f t="shared" si="56"/>
        <v>62.999999999987615</v>
      </c>
      <c r="AA165" s="1057">
        <f t="shared" si="56"/>
        <v>70.20000000004526</v>
      </c>
      <c r="AB165" s="1057">
        <f t="shared" si="56"/>
        <v>74.70000000001649</v>
      </c>
      <c r="AC165" s="1058">
        <f t="shared" si="56"/>
        <v>58.50000000001049</v>
      </c>
      <c r="AD165" s="1058">
        <f t="shared" si="56"/>
        <v>65.69999999995194</v>
      </c>
      <c r="AE165" s="1058">
        <f t="shared" si="52"/>
        <v>70.20000000004526</v>
      </c>
      <c r="AF165" s="1059">
        <f t="shared" si="52"/>
        <v>54.00000000002456</v>
      </c>
      <c r="AG165" s="1059">
        <f t="shared" si="52"/>
        <v>61.19999999997662</v>
      </c>
      <c r="AH165" s="1059">
        <f t="shared" si="52"/>
        <v>65.69999999995194</v>
      </c>
      <c r="AI165" s="1060">
        <f t="shared" si="52"/>
        <v>49.49999999998394</v>
      </c>
      <c r="AJ165" s="1060">
        <f t="shared" si="52"/>
        <v>56.699999999999996</v>
      </c>
      <c r="AK165" s="1060">
        <f t="shared" si="52"/>
        <v>61.19999999997662</v>
      </c>
    </row>
    <row r="166" spans="8:8" ht="15.75" customHeight="1">
      <c r="D166" s="1049">
        <f t="shared" si="44"/>
        <v>0.45277777777780676</v>
      </c>
      <c r="E166" s="1050">
        <f t="shared" si="41"/>
        <v>129.49444444445274</v>
      </c>
      <c r="F166" s="1050">
        <f t="shared" si="42"/>
        <v>136.73888888889763</v>
      </c>
      <c r="G166" s="1050">
        <f t="shared" si="42"/>
        <v>141.26666666667572</v>
      </c>
      <c r="H166" s="1051">
        <f t="shared" si="55"/>
        <v>120.43888888886711</v>
      </c>
      <c r="I166" s="1051">
        <f t="shared" si="55"/>
        <v>127.68333333339868</v>
      </c>
      <c r="J166" s="1051">
        <f t="shared" si="55"/>
        <v>132.2111111111329</v>
      </c>
      <c r="K166" s="1052">
        <f t="shared" si="55"/>
        <v>111.38333333339867</v>
      </c>
      <c r="L166" s="1052">
        <f t="shared" si="55"/>
        <v>118.62777777773422</v>
      </c>
      <c r="M166" s="1052">
        <f t="shared" si="55"/>
        <v>123.15555555547743</v>
      </c>
      <c r="N166" s="1053">
        <f t="shared" si="55"/>
        <v>81.5</v>
      </c>
      <c r="O166" s="1053">
        <f t="shared" si="55"/>
        <v>88.74444444452357</v>
      </c>
      <c r="P166" s="1053">
        <f t="shared" si="55"/>
        <v>93.27222222226358</v>
      </c>
      <c r="Q166" s="1054">
        <f t="shared" si="55"/>
        <v>76.97222222225618</v>
      </c>
      <c r="R166" s="1054">
        <f t="shared" si="54"/>
        <v>84.21666666661034</v>
      </c>
      <c r="S166" s="1054">
        <f t="shared" si="54"/>
        <v>88.74444444452357</v>
      </c>
      <c r="T166" s="1055">
        <f t="shared" si="53"/>
        <v>72.44444444450716</v>
      </c>
      <c r="U166" s="1055">
        <f t="shared" si="46"/>
        <v>79.6888888888712</v>
      </c>
      <c r="V166" s="1055">
        <f t="shared" si="47"/>
        <v>84.21666666661034</v>
      </c>
      <c r="W166" s="1056">
        <f t="shared" si="48"/>
        <v>67.91666666662442</v>
      </c>
      <c r="X166" s="1056">
        <f t="shared" si="49"/>
        <v>75.1611111111276</v>
      </c>
      <c r="Y166" s="1056">
        <f t="shared" si="50"/>
        <v>79.6888888888712</v>
      </c>
      <c r="Z166" s="1057">
        <f t="shared" si="56"/>
        <v>63.388888888876515</v>
      </c>
      <c r="AA166" s="1057">
        <f t="shared" si="56"/>
        <v>70.63333333337856</v>
      </c>
      <c r="AB166" s="1057">
        <f t="shared" si="56"/>
        <v>75.1611111111276</v>
      </c>
      <c r="AC166" s="1058">
        <f t="shared" si="56"/>
        <v>58.86111111112159</v>
      </c>
      <c r="AD166" s="1058">
        <f t="shared" si="56"/>
        <v>66.10555555550745</v>
      </c>
      <c r="AE166" s="1058">
        <f t="shared" si="52"/>
        <v>70.63333333337856</v>
      </c>
      <c r="AF166" s="1059">
        <f t="shared" si="52"/>
        <v>54.333333333357864</v>
      </c>
      <c r="AG166" s="1059">
        <f t="shared" si="52"/>
        <v>61.57777777775442</v>
      </c>
      <c r="AH166" s="1059">
        <f t="shared" si="52"/>
        <v>66.10555555550745</v>
      </c>
      <c r="AI166" s="1060">
        <f t="shared" si="52"/>
        <v>49.80555555553954</v>
      </c>
      <c r="AJ166" s="1060">
        <f t="shared" si="52"/>
        <v>57.05</v>
      </c>
      <c r="AK166" s="1060">
        <f t="shared" si="52"/>
        <v>61.57777777775442</v>
      </c>
    </row>
    <row r="167" spans="8:8" ht="15.75" customHeight="1">
      <c r="D167" s="1049">
        <f t="shared" si="44"/>
        <v>0.45555555555558475</v>
      </c>
      <c r="E167" s="1050">
        <f t="shared" si="41"/>
        <v>130.28888888889725</v>
      </c>
      <c r="F167" s="1050">
        <f t="shared" si="42"/>
        <v>137.5777777777866</v>
      </c>
      <c r="G167" s="1050">
        <f t="shared" si="42"/>
        <v>142.13333333334245</v>
      </c>
      <c r="H167" s="1051">
        <f t="shared" si="55"/>
        <v>121.1777777777561</v>
      </c>
      <c r="I167" s="1051">
        <f t="shared" si="55"/>
        <v>128.46666666673167</v>
      </c>
      <c r="J167" s="1051">
        <f t="shared" si="55"/>
        <v>133.0222222222439</v>
      </c>
      <c r="K167" s="1052">
        <f t="shared" si="55"/>
        <v>112.06666666673166</v>
      </c>
      <c r="L167" s="1052">
        <f t="shared" si="55"/>
        <v>119.35555555551223</v>
      </c>
      <c r="M167" s="1052">
        <f t="shared" si="55"/>
        <v>123.91111111103343</v>
      </c>
      <c r="N167" s="1053">
        <f t="shared" si="55"/>
        <v>82.0</v>
      </c>
      <c r="O167" s="1053">
        <f t="shared" si="55"/>
        <v>89.28888888896796</v>
      </c>
      <c r="P167" s="1053">
        <f t="shared" si="55"/>
        <v>93.84444444448577</v>
      </c>
      <c r="Q167" s="1054">
        <f t="shared" si="55"/>
        <v>77.44444444447838</v>
      </c>
      <c r="R167" s="1054">
        <f t="shared" si="57" ref="R167:T182">R168-(R$363/360)</f>
        <v>84.73333333327703</v>
      </c>
      <c r="S167" s="1054">
        <f t="shared" si="57"/>
        <v>89.28888888896796</v>
      </c>
      <c r="T167" s="1055">
        <f t="shared" si="53"/>
        <v>72.88888888895156</v>
      </c>
      <c r="U167" s="1055">
        <f t="shared" si="46"/>
        <v>80.1777777777601</v>
      </c>
      <c r="V167" s="1055">
        <f t="shared" si="47"/>
        <v>84.73333333327703</v>
      </c>
      <c r="W167" s="1056">
        <f t="shared" si="48"/>
        <v>68.33333333329112</v>
      </c>
      <c r="X167" s="1056">
        <f t="shared" si="49"/>
        <v>75.62222222223869</v>
      </c>
      <c r="Y167" s="1056">
        <f t="shared" si="50"/>
        <v>80.1777777777601</v>
      </c>
      <c r="Z167" s="1057">
        <f t="shared" si="56"/>
        <v>63.77777777776541</v>
      </c>
      <c r="AA167" s="1057">
        <f t="shared" si="56"/>
        <v>71.06666666671187</v>
      </c>
      <c r="AB167" s="1057">
        <f t="shared" si="56"/>
        <v>75.62222222223869</v>
      </c>
      <c r="AC167" s="1058">
        <f t="shared" si="56"/>
        <v>59.22222222223269</v>
      </c>
      <c r="AD167" s="1058">
        <f t="shared" si="56"/>
        <v>66.51111111106304</v>
      </c>
      <c r="AE167" s="1058">
        <f t="shared" si="52"/>
        <v>71.06666666671187</v>
      </c>
      <c r="AF167" s="1059">
        <f t="shared" si="52"/>
        <v>54.666666666691164</v>
      </c>
      <c r="AG167" s="1059">
        <f t="shared" si="52"/>
        <v>61.95555555553222</v>
      </c>
      <c r="AH167" s="1059">
        <f t="shared" si="52"/>
        <v>66.51111111106304</v>
      </c>
      <c r="AI167" s="1060">
        <f t="shared" si="52"/>
        <v>50.11111111109514</v>
      </c>
      <c r="AJ167" s="1060">
        <f t="shared" si="52"/>
        <v>57.4</v>
      </c>
      <c r="AK167" s="1060">
        <f t="shared" si="52"/>
        <v>61.95555555553222</v>
      </c>
    </row>
    <row r="168" spans="8:8" ht="15.75" customHeight="1">
      <c r="D168" s="1049">
        <f t="shared" si="44"/>
        <v>0.4583333333333628</v>
      </c>
      <c r="E168" s="1050">
        <f t="shared" si="41"/>
        <v>131.08333333334176</v>
      </c>
      <c r="F168" s="1050">
        <f t="shared" si="42"/>
        <v>138.41666666667555</v>
      </c>
      <c r="G168" s="1050">
        <f t="shared" si="42"/>
        <v>143.00000000000918</v>
      </c>
      <c r="H168" s="1051">
        <f t="shared" si="55"/>
        <v>121.9166666666451</v>
      </c>
      <c r="I168" s="1051">
        <f t="shared" si="55"/>
        <v>129.25000000006466</v>
      </c>
      <c r="J168" s="1051">
        <f t="shared" si="55"/>
        <v>133.8333333333549</v>
      </c>
      <c r="K168" s="1052">
        <f t="shared" si="55"/>
        <v>112.75000000006466</v>
      </c>
      <c r="L168" s="1052">
        <f t="shared" si="55"/>
        <v>120.08333333329023</v>
      </c>
      <c r="M168" s="1052">
        <f t="shared" si="55"/>
        <v>124.66666666658944</v>
      </c>
      <c r="N168" s="1053">
        <f t="shared" si="55"/>
        <v>82.5</v>
      </c>
      <c r="O168" s="1053">
        <f t="shared" si="55"/>
        <v>89.83333333341237</v>
      </c>
      <c r="P168" s="1053">
        <f t="shared" si="55"/>
        <v>94.41666666670798</v>
      </c>
      <c r="Q168" s="1054">
        <f t="shared" si="55"/>
        <v>77.91666666670058</v>
      </c>
      <c r="R168" s="1054">
        <f t="shared" si="57"/>
        <v>85.24999999994374</v>
      </c>
      <c r="S168" s="1054">
        <f t="shared" si="57"/>
        <v>89.83333333341237</v>
      </c>
      <c r="T168" s="1055">
        <f t="shared" si="53"/>
        <v>73.33333333339596</v>
      </c>
      <c r="U168" s="1055">
        <f t="shared" si="46"/>
        <v>80.66666666664901</v>
      </c>
      <c r="V168" s="1055">
        <f t="shared" si="47"/>
        <v>85.24999999994374</v>
      </c>
      <c r="W168" s="1056">
        <f t="shared" si="48"/>
        <v>68.74999999995782</v>
      </c>
      <c r="X168" s="1056">
        <f t="shared" si="49"/>
        <v>76.08333333334978</v>
      </c>
      <c r="Y168" s="1056">
        <f t="shared" si="50"/>
        <v>80.66666666664901</v>
      </c>
      <c r="Z168" s="1057">
        <f>Z169-(Z$363/360)</f>
        <v>64.16666666665431</v>
      </c>
      <c r="AA168" s="1057">
        <f t="shared" si="58" ref="AA168:AE199">AA169-(AA$363/360)</f>
        <v>71.50000000004516</v>
      </c>
      <c r="AB168" s="1057">
        <f t="shared" si="58"/>
        <v>76.08333333334978</v>
      </c>
      <c r="AC168" s="1058">
        <f t="shared" si="58"/>
        <v>59.58333333334379</v>
      </c>
      <c r="AD168" s="1058">
        <f t="shared" si="58"/>
        <v>66.91666666661855</v>
      </c>
      <c r="AE168" s="1058">
        <f t="shared" si="52"/>
        <v>71.50000000004516</v>
      </c>
      <c r="AF168" s="1059">
        <f t="shared" si="52"/>
        <v>55.000000000024464</v>
      </c>
      <c r="AG168" s="1059">
        <f t="shared" si="52"/>
        <v>62.33333333331002</v>
      </c>
      <c r="AH168" s="1059">
        <f t="shared" si="52"/>
        <v>66.91666666661855</v>
      </c>
      <c r="AI168" s="1060">
        <f t="shared" si="52"/>
        <v>50.41666666665074</v>
      </c>
      <c r="AJ168" s="1060">
        <f t="shared" si="52"/>
        <v>57.75</v>
      </c>
      <c r="AK168" s="1060">
        <f t="shared" si="52"/>
        <v>62.33333333331002</v>
      </c>
    </row>
    <row r="169" spans="8:8" ht="15.75" customHeight="1">
      <c r="D169" s="1049">
        <f t="shared" si="44"/>
        <v>0.4611111111111408</v>
      </c>
      <c r="E169" s="1050">
        <f t="shared" si="41"/>
        <v>131.87777777778626</v>
      </c>
      <c r="F169" s="1050">
        <f t="shared" si="42"/>
        <v>139.2555555555645</v>
      </c>
      <c r="G169" s="1050">
        <f t="shared" si="42"/>
        <v>143.8666666666759</v>
      </c>
      <c r="H169" s="1051">
        <f t="shared" si="55"/>
        <v>122.65555555553411</v>
      </c>
      <c r="I169" s="1051">
        <f t="shared" si="55"/>
        <v>130.03333333339768</v>
      </c>
      <c r="J169" s="1051">
        <f t="shared" si="55"/>
        <v>134.6444444444659</v>
      </c>
      <c r="K169" s="1052">
        <f t="shared" si="55"/>
        <v>113.43333333339767</v>
      </c>
      <c r="L169" s="1052">
        <f t="shared" si="55"/>
        <v>120.81111111106823</v>
      </c>
      <c r="M169" s="1052">
        <f t="shared" si="55"/>
        <v>125.42222222214544</v>
      </c>
      <c r="N169" s="1053">
        <f t="shared" si="55"/>
        <v>83.0</v>
      </c>
      <c r="O169" s="1053">
        <f t="shared" si="55"/>
        <v>90.37777777785676</v>
      </c>
      <c r="P169" s="1053">
        <f t="shared" si="55"/>
        <v>94.98888888893018</v>
      </c>
      <c r="Q169" s="1054">
        <f t="shared" si="55"/>
        <v>78.38888888892276</v>
      </c>
      <c r="R169" s="1054">
        <f t="shared" si="57"/>
        <v>85.76666666661043</v>
      </c>
      <c r="S169" s="1054">
        <f t="shared" si="57"/>
        <v>90.37777777785676</v>
      </c>
      <c r="T169" s="1055">
        <f t="shared" si="57"/>
        <v>73.77777777784036</v>
      </c>
      <c r="U169" s="1055">
        <f t="shared" si="59" ref="U169:AE206">U170-(U$363/360)</f>
        <v>81.1555555555379</v>
      </c>
      <c r="V169" s="1055">
        <f t="shared" si="59"/>
        <v>85.76666666661043</v>
      </c>
      <c r="W169" s="1056">
        <f t="shared" si="59"/>
        <v>69.16666666662452</v>
      </c>
      <c r="X169" s="1056">
        <f t="shared" si="59"/>
        <v>76.5444444444609</v>
      </c>
      <c r="Y169" s="1056">
        <f t="shared" si="59"/>
        <v>81.1555555555379</v>
      </c>
      <c r="Z169" s="1057">
        <f t="shared" si="59"/>
        <v>64.55555555554321</v>
      </c>
      <c r="AA169" s="1057">
        <f t="shared" si="58"/>
        <v>71.93333333337846</v>
      </c>
      <c r="AB169" s="1057">
        <f t="shared" si="58"/>
        <v>76.5444444444609</v>
      </c>
      <c r="AC169" s="1058">
        <f t="shared" si="58"/>
        <v>59.94444444445489</v>
      </c>
      <c r="AD169" s="1058">
        <f t="shared" si="58"/>
        <v>67.32222222217405</v>
      </c>
      <c r="AE169" s="1058">
        <f t="shared" si="52"/>
        <v>71.93333333337846</v>
      </c>
      <c r="AF169" s="1059">
        <f t="shared" si="52"/>
        <v>55.333333333357764</v>
      </c>
      <c r="AG169" s="1059">
        <f t="shared" si="52"/>
        <v>62.71111111108782</v>
      </c>
      <c r="AH169" s="1059">
        <f t="shared" si="52"/>
        <v>67.32222222217405</v>
      </c>
      <c r="AI169" s="1060">
        <f t="shared" si="52"/>
        <v>50.72222222220634</v>
      </c>
      <c r="AJ169" s="1060">
        <f t="shared" si="52"/>
        <v>58.1</v>
      </c>
      <c r="AK169" s="1060">
        <f t="shared" si="52"/>
        <v>62.71111111108782</v>
      </c>
    </row>
    <row r="170" spans="8:8" ht="15.75" customHeight="1">
      <c r="D170" s="1049">
        <f t="shared" si="44"/>
        <v>0.46388888888891877</v>
      </c>
      <c r="E170" s="1050">
        <f t="shared" si="41"/>
        <v>132.67222222223077</v>
      </c>
      <c r="F170" s="1050">
        <f t="shared" si="42"/>
        <v>140.09444444445347</v>
      </c>
      <c r="G170" s="1050">
        <f t="shared" si="42"/>
        <v>144.73333333334267</v>
      </c>
      <c r="H170" s="1051">
        <f t="shared" si="55"/>
        <v>123.3944444444231</v>
      </c>
      <c r="I170" s="1051">
        <f t="shared" si="55"/>
        <v>130.81666666673067</v>
      </c>
      <c r="J170" s="1051">
        <f t="shared" si="55"/>
        <v>135.4555555555769</v>
      </c>
      <c r="K170" s="1052">
        <f t="shared" si="55"/>
        <v>114.11666666673067</v>
      </c>
      <c r="L170" s="1052">
        <f t="shared" si="55"/>
        <v>121.53888888884623</v>
      </c>
      <c r="M170" s="1052">
        <f t="shared" si="55"/>
        <v>126.17777777770144</v>
      </c>
      <c r="N170" s="1053">
        <f t="shared" si="55"/>
        <v>83.5</v>
      </c>
      <c r="O170" s="1053">
        <f t="shared" si="55"/>
        <v>90.92222222230116</v>
      </c>
      <c r="P170" s="1053">
        <f t="shared" si="55"/>
        <v>95.56111111115237</v>
      </c>
      <c r="Q170" s="1054">
        <f t="shared" si="55"/>
        <v>78.86111111114496</v>
      </c>
      <c r="R170" s="1054">
        <f t="shared" si="57"/>
        <v>86.28333333327713</v>
      </c>
      <c r="S170" s="1054">
        <f t="shared" si="57"/>
        <v>90.92222222230116</v>
      </c>
      <c r="T170" s="1055">
        <f t="shared" si="57"/>
        <v>74.22222222228476</v>
      </c>
      <c r="U170" s="1055">
        <f t="shared" si="59"/>
        <v>81.64444444442681</v>
      </c>
      <c r="V170" s="1055">
        <f t="shared" si="59"/>
        <v>86.28333333327713</v>
      </c>
      <c r="W170" s="1056">
        <f t="shared" si="59"/>
        <v>69.58333333329122</v>
      </c>
      <c r="X170" s="1056">
        <f t="shared" si="59"/>
        <v>77.00555555557199</v>
      </c>
      <c r="Y170" s="1056">
        <f t="shared" si="59"/>
        <v>81.64444444442681</v>
      </c>
      <c r="Z170" s="1057">
        <f t="shared" si="59"/>
        <v>64.94444444443211</v>
      </c>
      <c r="AA170" s="1057">
        <f t="shared" si="58"/>
        <v>72.36666666671177</v>
      </c>
      <c r="AB170" s="1057">
        <f t="shared" si="58"/>
        <v>77.00555555557199</v>
      </c>
      <c r="AC170" s="1058">
        <f t="shared" si="58"/>
        <v>60.30555555556599</v>
      </c>
      <c r="AD170" s="1058">
        <f t="shared" si="58"/>
        <v>67.72777777772964</v>
      </c>
      <c r="AE170" s="1058">
        <f t="shared" si="52"/>
        <v>72.36666666671177</v>
      </c>
      <c r="AF170" s="1059">
        <f t="shared" si="52"/>
        <v>55.666666666691064</v>
      </c>
      <c r="AG170" s="1059">
        <f t="shared" si="52"/>
        <v>63.08888888886562</v>
      </c>
      <c r="AH170" s="1059">
        <f t="shared" si="52"/>
        <v>67.72777777772964</v>
      </c>
      <c r="AI170" s="1060">
        <f t="shared" si="52"/>
        <v>51.02777777776194</v>
      </c>
      <c r="AJ170" s="1060">
        <f t="shared" si="52"/>
        <v>58.449999999999996</v>
      </c>
      <c r="AK170" s="1060">
        <f t="shared" si="52"/>
        <v>63.08888888886562</v>
      </c>
    </row>
    <row r="171" spans="8:8" ht="15.75" customHeight="1">
      <c r="D171" s="1049">
        <f t="shared" si="44"/>
        <v>0.46666666666669676</v>
      </c>
      <c r="E171" s="1050">
        <f t="shared" si="41"/>
        <v>133.46666666667528</v>
      </c>
      <c r="F171" s="1050">
        <f t="shared" si="42"/>
        <v>140.93333333334243</v>
      </c>
      <c r="G171" s="1050">
        <f t="shared" si="42"/>
        <v>145.6000000000094</v>
      </c>
      <c r="H171" s="1051">
        <f t="shared" si="55"/>
        <v>124.13333333331211</v>
      </c>
      <c r="I171" s="1051">
        <f t="shared" si="55"/>
        <v>131.60000000006366</v>
      </c>
      <c r="J171" s="1051">
        <f t="shared" si="55"/>
        <v>136.2666666666879</v>
      </c>
      <c r="K171" s="1052">
        <f t="shared" si="55"/>
        <v>114.80000000006366</v>
      </c>
      <c r="L171" s="1052">
        <f t="shared" si="55"/>
        <v>122.26666666662423</v>
      </c>
      <c r="M171" s="1052">
        <f t="shared" si="55"/>
        <v>126.93333333325744</v>
      </c>
      <c r="N171" s="1053">
        <f t="shared" si="55"/>
        <v>84.0</v>
      </c>
      <c r="O171" s="1053">
        <f t="shared" si="55"/>
        <v>91.46666666674557</v>
      </c>
      <c r="P171" s="1053">
        <f t="shared" si="55"/>
        <v>96.13333333337458</v>
      </c>
      <c r="Q171" s="1054">
        <f t="shared" si="55"/>
        <v>79.33333333336716</v>
      </c>
      <c r="R171" s="1054">
        <f t="shared" si="57"/>
        <v>86.79999999994384</v>
      </c>
      <c r="S171" s="1054">
        <f t="shared" si="57"/>
        <v>91.46666666674557</v>
      </c>
      <c r="T171" s="1055">
        <f t="shared" si="57"/>
        <v>74.66666666672916</v>
      </c>
      <c r="U171" s="1055">
        <f t="shared" si="59"/>
        <v>82.1333333333157</v>
      </c>
      <c r="V171" s="1055">
        <f t="shared" si="59"/>
        <v>86.79999999994384</v>
      </c>
      <c r="W171" s="1056">
        <f t="shared" si="59"/>
        <v>69.99999999995792</v>
      </c>
      <c r="X171" s="1056">
        <f t="shared" si="59"/>
        <v>77.4666666666831</v>
      </c>
      <c r="Y171" s="1056">
        <f t="shared" si="59"/>
        <v>82.1333333333157</v>
      </c>
      <c r="Z171" s="1057">
        <f t="shared" si="59"/>
        <v>65.33333333332101</v>
      </c>
      <c r="AA171" s="1057">
        <f t="shared" si="58"/>
        <v>72.80000000004506</v>
      </c>
      <c r="AB171" s="1057">
        <f t="shared" si="58"/>
        <v>77.4666666666831</v>
      </c>
      <c r="AC171" s="1058">
        <f t="shared" si="58"/>
        <v>60.66666666667709</v>
      </c>
      <c r="AD171" s="1058">
        <f t="shared" si="58"/>
        <v>68.13333333328515</v>
      </c>
      <c r="AE171" s="1058">
        <f t="shared" si="52"/>
        <v>72.80000000004506</v>
      </c>
      <c r="AF171" s="1059">
        <f t="shared" si="52"/>
        <v>56.000000000024365</v>
      </c>
      <c r="AG171" s="1059">
        <f t="shared" si="52"/>
        <v>63.46666666664342</v>
      </c>
      <c r="AH171" s="1059">
        <f t="shared" si="52"/>
        <v>68.13333333328515</v>
      </c>
      <c r="AI171" s="1060">
        <f t="shared" si="52"/>
        <v>51.33333333331754</v>
      </c>
      <c r="AJ171" s="1060">
        <f t="shared" si="52"/>
        <v>58.8</v>
      </c>
      <c r="AK171" s="1060">
        <f t="shared" si="52"/>
        <v>63.46666666664342</v>
      </c>
    </row>
    <row r="172" spans="8:8" ht="15.75" customHeight="1">
      <c r="D172" s="1049">
        <f t="shared" si="44"/>
        <v>0.46944444444447475</v>
      </c>
      <c r="E172" s="1050">
        <f t="shared" si="41"/>
        <v>134.2611111111198</v>
      </c>
      <c r="F172" s="1050">
        <f t="shared" si="42"/>
        <v>141.77222222223136</v>
      </c>
      <c r="G172" s="1050">
        <f t="shared" si="42"/>
        <v>146.46666666667613</v>
      </c>
      <c r="H172" s="1051">
        <f t="shared" si="55"/>
        <v>124.8722222222011</v>
      </c>
      <c r="I172" s="1051">
        <f t="shared" si="55"/>
        <v>132.38333333339668</v>
      </c>
      <c r="J172" s="1051">
        <f t="shared" si="55"/>
        <v>137.0777777777989</v>
      </c>
      <c r="K172" s="1052">
        <f t="shared" si="55"/>
        <v>115.48333333339666</v>
      </c>
      <c r="L172" s="1052">
        <f t="shared" si="55"/>
        <v>122.99444444440222</v>
      </c>
      <c r="M172" s="1052">
        <f t="shared" si="55"/>
        <v>127.68888888881344</v>
      </c>
      <c r="N172" s="1053">
        <f t="shared" si="55"/>
        <v>84.5</v>
      </c>
      <c r="O172" s="1053">
        <f t="shared" si="55"/>
        <v>92.01111111118996</v>
      </c>
      <c r="P172" s="1053">
        <f t="shared" si="55"/>
        <v>96.70555555559677</v>
      </c>
      <c r="Q172" s="1054">
        <f t="shared" si="55"/>
        <v>79.80555555558936</v>
      </c>
      <c r="R172" s="1054">
        <f t="shared" si="57"/>
        <v>87.31666666661053</v>
      </c>
      <c r="S172" s="1054">
        <f t="shared" si="57"/>
        <v>92.01111111118996</v>
      </c>
      <c r="T172" s="1055">
        <f t="shared" si="57"/>
        <v>75.11111111117356</v>
      </c>
      <c r="U172" s="1055">
        <f t="shared" si="59"/>
        <v>82.62222222220461</v>
      </c>
      <c r="V172" s="1055">
        <f t="shared" si="59"/>
        <v>87.31666666661053</v>
      </c>
      <c r="W172" s="1056">
        <f t="shared" si="59"/>
        <v>70.41666666662464</v>
      </c>
      <c r="X172" s="1056">
        <f t="shared" si="59"/>
        <v>77.92777777779419</v>
      </c>
      <c r="Y172" s="1056">
        <f t="shared" si="59"/>
        <v>82.62222222220461</v>
      </c>
      <c r="Z172" s="1057">
        <f t="shared" si="59"/>
        <v>65.72222222220991</v>
      </c>
      <c r="AA172" s="1057">
        <f t="shared" si="58"/>
        <v>73.23333333337837</v>
      </c>
      <c r="AB172" s="1057">
        <f t="shared" si="58"/>
        <v>77.92777777779419</v>
      </c>
      <c r="AC172" s="1058">
        <f t="shared" si="58"/>
        <v>61.02777777778819</v>
      </c>
      <c r="AD172" s="1058">
        <f t="shared" si="58"/>
        <v>68.53888888884065</v>
      </c>
      <c r="AE172" s="1058">
        <f t="shared" si="52"/>
        <v>73.23333333337837</v>
      </c>
      <c r="AF172" s="1059">
        <f t="shared" si="52"/>
        <v>56.333333333357665</v>
      </c>
      <c r="AG172" s="1059">
        <f t="shared" si="52"/>
        <v>63.844444444421214</v>
      </c>
      <c r="AH172" s="1059">
        <f t="shared" si="52"/>
        <v>68.53888888884065</v>
      </c>
      <c r="AI172" s="1060">
        <f t="shared" si="52"/>
        <v>51.63888888887314</v>
      </c>
      <c r="AJ172" s="1060">
        <f t="shared" si="52"/>
        <v>59.15</v>
      </c>
      <c r="AK172" s="1060">
        <f t="shared" si="52"/>
        <v>63.844444444421214</v>
      </c>
    </row>
    <row r="173" spans="8:8" ht="15.75" customHeight="1">
      <c r="D173" s="1049">
        <f t="shared" si="44"/>
        <v>0.47222222222225274</v>
      </c>
      <c r="E173" s="1050">
        <f t="shared" si="41"/>
        <v>135.0555555555643</v>
      </c>
      <c r="F173" s="1050">
        <f t="shared" si="42"/>
        <v>142.61111111112032</v>
      </c>
      <c r="G173" s="1050">
        <f t="shared" si="42"/>
        <v>147.33333333334286</v>
      </c>
      <c r="H173" s="1051">
        <f t="shared" si="55"/>
        <v>125.61111111109011</v>
      </c>
      <c r="I173" s="1051">
        <f t="shared" si="55"/>
        <v>133.16666666672967</v>
      </c>
      <c r="J173" s="1051">
        <f t="shared" si="55"/>
        <v>137.8888888889099</v>
      </c>
      <c r="K173" s="1052">
        <f t="shared" si="55"/>
        <v>116.16666666672967</v>
      </c>
      <c r="L173" s="1052">
        <f t="shared" si="55"/>
        <v>123.72222222218022</v>
      </c>
      <c r="M173" s="1052">
        <f t="shared" si="55"/>
        <v>128.44444444436945</v>
      </c>
      <c r="N173" s="1053">
        <f t="shared" si="55"/>
        <v>85.0</v>
      </c>
      <c r="O173" s="1053">
        <f t="shared" si="55"/>
        <v>92.55555555563436</v>
      </c>
      <c r="P173" s="1053">
        <f t="shared" si="55"/>
        <v>97.27777777781898</v>
      </c>
      <c r="Q173" s="1054">
        <f t="shared" si="55"/>
        <v>80.27777777781156</v>
      </c>
      <c r="R173" s="1054">
        <f t="shared" si="57"/>
        <v>87.83333333327724</v>
      </c>
      <c r="S173" s="1054">
        <f t="shared" si="57"/>
        <v>92.55555555563436</v>
      </c>
      <c r="T173" s="1055">
        <f t="shared" si="57"/>
        <v>75.55555555561796</v>
      </c>
      <c r="U173" s="1055">
        <f t="shared" si="59"/>
        <v>83.1111111110935</v>
      </c>
      <c r="V173" s="1055">
        <f t="shared" si="59"/>
        <v>87.83333333327724</v>
      </c>
      <c r="W173" s="1056">
        <f t="shared" si="59"/>
        <v>70.83333333329134</v>
      </c>
      <c r="X173" s="1056">
        <f t="shared" si="59"/>
        <v>78.38888888890529</v>
      </c>
      <c r="Y173" s="1056">
        <f t="shared" si="59"/>
        <v>83.1111111110935</v>
      </c>
      <c r="Z173" s="1057">
        <f t="shared" si="59"/>
        <v>66.11111111109881</v>
      </c>
      <c r="AA173" s="1057">
        <f t="shared" si="58"/>
        <v>73.66666666671166</v>
      </c>
      <c r="AB173" s="1057">
        <f t="shared" si="58"/>
        <v>78.38888888890529</v>
      </c>
      <c r="AC173" s="1058">
        <f t="shared" si="58"/>
        <v>61.38888888889929</v>
      </c>
      <c r="AD173" s="1058">
        <f t="shared" si="58"/>
        <v>68.94444444439615</v>
      </c>
      <c r="AE173" s="1058">
        <f t="shared" si="52"/>
        <v>73.66666666671166</v>
      </c>
      <c r="AF173" s="1059">
        <f t="shared" si="52"/>
        <v>56.666666666690965</v>
      </c>
      <c r="AG173" s="1059">
        <f t="shared" si="52"/>
        <v>64.22222222219902</v>
      </c>
      <c r="AH173" s="1059">
        <f t="shared" si="52"/>
        <v>68.94444444439615</v>
      </c>
      <c r="AI173" s="1060">
        <f t="shared" si="52"/>
        <v>51.94444444442874</v>
      </c>
      <c r="AJ173" s="1060">
        <f t="shared" si="52"/>
        <v>59.5</v>
      </c>
      <c r="AK173" s="1060">
        <f t="shared" si="52"/>
        <v>64.22222222219902</v>
      </c>
    </row>
    <row r="174" spans="8:8" ht="15.75" customHeight="1">
      <c r="D174" s="1049">
        <f t="shared" si="44"/>
        <v>0.4750000000000308</v>
      </c>
      <c r="E174" s="1050">
        <f t="shared" si="41"/>
        <v>135.8500000000088</v>
      </c>
      <c r="F174" s="1050">
        <f t="shared" si="42"/>
        <v>143.4500000000093</v>
      </c>
      <c r="G174" s="1050">
        <f t="shared" si="42"/>
        <v>148.2000000000096</v>
      </c>
      <c r="H174" s="1051">
        <f t="shared" si="55"/>
        <v>126.3499999999791</v>
      </c>
      <c r="I174" s="1051">
        <f t="shared" si="55"/>
        <v>133.95000000006266</v>
      </c>
      <c r="J174" s="1051">
        <f t="shared" si="55"/>
        <v>138.7000000000209</v>
      </c>
      <c r="K174" s="1052">
        <f t="shared" si="55"/>
        <v>116.85000000006266</v>
      </c>
      <c r="L174" s="1052">
        <f t="shared" si="55"/>
        <v>124.44999999995822</v>
      </c>
      <c r="M174" s="1052">
        <f t="shared" si="55"/>
        <v>129.19999999992544</v>
      </c>
      <c r="N174" s="1053">
        <f t="shared" si="55"/>
        <v>85.5</v>
      </c>
      <c r="O174" s="1053">
        <f t="shared" si="55"/>
        <v>93.10000000007877</v>
      </c>
      <c r="P174" s="1053">
        <f t="shared" si="55"/>
        <v>97.85000000004118</v>
      </c>
      <c r="Q174" s="1054">
        <f t="shared" si="55"/>
        <v>80.75000000003376</v>
      </c>
      <c r="R174" s="1054">
        <f t="shared" si="57"/>
        <v>88.34999999994393</v>
      </c>
      <c r="S174" s="1054">
        <f t="shared" si="57"/>
        <v>93.10000000007877</v>
      </c>
      <c r="T174" s="1055">
        <f t="shared" si="57"/>
        <v>76.00000000006236</v>
      </c>
      <c r="U174" s="1055">
        <f t="shared" si="59"/>
        <v>83.5999999999824</v>
      </c>
      <c r="V174" s="1055">
        <f t="shared" si="59"/>
        <v>88.34999999994393</v>
      </c>
      <c r="W174" s="1056">
        <f t="shared" si="59"/>
        <v>71.24999999995804</v>
      </c>
      <c r="X174" s="1056">
        <f t="shared" si="59"/>
        <v>78.8500000000164</v>
      </c>
      <c r="Y174" s="1056">
        <f t="shared" si="59"/>
        <v>83.5999999999824</v>
      </c>
      <c r="Z174" s="1057">
        <f t="shared" si="59"/>
        <v>66.49999999998771</v>
      </c>
      <c r="AA174" s="1057">
        <f t="shared" si="58"/>
        <v>74.10000000004496</v>
      </c>
      <c r="AB174" s="1057">
        <f t="shared" si="58"/>
        <v>78.8500000000164</v>
      </c>
      <c r="AC174" s="1058">
        <f t="shared" si="58"/>
        <v>61.75000000001039</v>
      </c>
      <c r="AD174" s="1058">
        <f t="shared" si="58"/>
        <v>69.34999999995165</v>
      </c>
      <c r="AE174" s="1058">
        <f t="shared" si="52"/>
        <v>74.10000000004496</v>
      </c>
      <c r="AF174" s="1059">
        <f t="shared" si="60" ref="AF174:AK216">AF175-(AF$363/360)</f>
        <v>57.000000000024265</v>
      </c>
      <c r="AG174" s="1059">
        <f t="shared" si="52"/>
        <v>64.59999999997682</v>
      </c>
      <c r="AH174" s="1059">
        <f t="shared" si="52"/>
        <v>69.34999999995165</v>
      </c>
      <c r="AI174" s="1060">
        <f t="shared" si="52"/>
        <v>52.24999999998434</v>
      </c>
      <c r="AJ174" s="1060">
        <f t="shared" si="60"/>
        <v>59.85</v>
      </c>
      <c r="AK174" s="1060">
        <f t="shared" si="60"/>
        <v>64.59999999997682</v>
      </c>
    </row>
    <row r="175" spans="8:8" ht="15.75" customHeight="1">
      <c r="D175" s="1049">
        <f t="shared" si="44"/>
        <v>0.4777777777778088</v>
      </c>
      <c r="E175" s="1050">
        <f t="shared" si="41"/>
        <v>136.6444444444533</v>
      </c>
      <c r="F175" s="1050">
        <f t="shared" si="42"/>
        <v>144.28888888889824</v>
      </c>
      <c r="G175" s="1050">
        <f t="shared" si="42"/>
        <v>149.06666666667633</v>
      </c>
      <c r="H175" s="1051">
        <f t="shared" si="61" ref="H175:Q194">H176-(H$363/360)</f>
        <v>127.08888888886811</v>
      </c>
      <c r="I175" s="1051">
        <f t="shared" si="61"/>
        <v>134.73333333339568</v>
      </c>
      <c r="J175" s="1051">
        <f t="shared" si="61"/>
        <v>139.5111111111319</v>
      </c>
      <c r="K175" s="1052">
        <f t="shared" si="61"/>
        <v>117.53333333339566</v>
      </c>
      <c r="L175" s="1052">
        <f t="shared" si="61"/>
        <v>125.17777777773622</v>
      </c>
      <c r="M175" s="1052">
        <f t="shared" si="61"/>
        <v>129.95555555548145</v>
      </c>
      <c r="N175" s="1053">
        <f t="shared" si="61"/>
        <v>86.0</v>
      </c>
      <c r="O175" s="1053">
        <f t="shared" si="61"/>
        <v>93.64444444452316</v>
      </c>
      <c r="P175" s="1053">
        <f t="shared" si="61"/>
        <v>98.42222222226337</v>
      </c>
      <c r="Q175" s="1054">
        <f t="shared" si="61"/>
        <v>81.22222222225597</v>
      </c>
      <c r="R175" s="1054">
        <f t="shared" si="57"/>
        <v>88.86666666661064</v>
      </c>
      <c r="S175" s="1054">
        <f t="shared" si="57"/>
        <v>93.64444444452316</v>
      </c>
      <c r="T175" s="1055">
        <f t="shared" si="57"/>
        <v>76.44444444450676</v>
      </c>
      <c r="U175" s="1055">
        <f t="shared" si="59"/>
        <v>84.08888888887131</v>
      </c>
      <c r="V175" s="1055">
        <f t="shared" si="59"/>
        <v>88.86666666661064</v>
      </c>
      <c r="W175" s="1056">
        <f t="shared" si="59"/>
        <v>71.66666666662474</v>
      </c>
      <c r="X175" s="1056">
        <f t="shared" si="59"/>
        <v>79.31111111112749</v>
      </c>
      <c r="Y175" s="1056">
        <f t="shared" si="59"/>
        <v>84.08888888887131</v>
      </c>
      <c r="Z175" s="1057">
        <f t="shared" si="59"/>
        <v>66.88888888887661</v>
      </c>
      <c r="AA175" s="1057">
        <f t="shared" si="58"/>
        <v>74.53333333337827</v>
      </c>
      <c r="AB175" s="1057">
        <f t="shared" si="58"/>
        <v>79.31111111112749</v>
      </c>
      <c r="AC175" s="1058">
        <f t="shared" si="58"/>
        <v>62.11111111112149</v>
      </c>
      <c r="AD175" s="1058">
        <f t="shared" si="58"/>
        <v>69.75555555550724</v>
      </c>
      <c r="AE175" s="1058">
        <f t="shared" si="58"/>
        <v>74.53333333337827</v>
      </c>
      <c r="AF175" s="1059">
        <f t="shared" si="60"/>
        <v>57.333333333357565</v>
      </c>
      <c r="AG175" s="1059">
        <f t="shared" si="60"/>
        <v>64.97777777775462</v>
      </c>
      <c r="AH175" s="1059">
        <f t="shared" si="60"/>
        <v>69.75555555550724</v>
      </c>
      <c r="AI175" s="1060">
        <f t="shared" si="60"/>
        <v>52.55555555553994</v>
      </c>
      <c r="AJ175" s="1060">
        <f t="shared" si="60"/>
        <v>60.199999999999996</v>
      </c>
      <c r="AK175" s="1060">
        <f t="shared" si="60"/>
        <v>64.97777777775462</v>
      </c>
    </row>
    <row r="176" spans="8:8" ht="15.75" customHeight="1">
      <c r="D176" s="1049">
        <f t="shared" si="44"/>
        <v>0.48055555555558677</v>
      </c>
      <c r="E176" s="1050">
        <f t="shared" si="41"/>
        <v>137.43888888889782</v>
      </c>
      <c r="F176" s="1050">
        <f t="shared" si="42"/>
        <v>145.1277777777872</v>
      </c>
      <c r="G176" s="1050">
        <f t="shared" si="42"/>
        <v>149.93333333334306</v>
      </c>
      <c r="H176" s="1051">
        <f t="shared" si="61"/>
        <v>127.8277777777571</v>
      </c>
      <c r="I176" s="1051">
        <f t="shared" si="61"/>
        <v>135.51666666672867</v>
      </c>
      <c r="J176" s="1051">
        <f t="shared" si="61"/>
        <v>140.32222222224289</v>
      </c>
      <c r="K176" s="1052">
        <f t="shared" si="61"/>
        <v>118.21666666672866</v>
      </c>
      <c r="L176" s="1052">
        <f t="shared" si="61"/>
        <v>125.90555555551423</v>
      </c>
      <c r="M176" s="1052">
        <f t="shared" si="61"/>
        <v>130.71111111103744</v>
      </c>
      <c r="N176" s="1053">
        <f t="shared" si="61"/>
        <v>86.5</v>
      </c>
      <c r="O176" s="1053">
        <f t="shared" si="61"/>
        <v>94.18888888896757</v>
      </c>
      <c r="P176" s="1053">
        <f t="shared" si="61"/>
        <v>98.99444444448558</v>
      </c>
      <c r="Q176" s="1054">
        <f t="shared" si="61"/>
        <v>81.69444444447817</v>
      </c>
      <c r="R176" s="1054">
        <f t="shared" si="57"/>
        <v>89.38333333327733</v>
      </c>
      <c r="S176" s="1054">
        <f t="shared" si="57"/>
        <v>94.18888888896757</v>
      </c>
      <c r="T176" s="1055">
        <f t="shared" si="57"/>
        <v>76.88888888895116</v>
      </c>
      <c r="U176" s="1055">
        <f t="shared" si="59"/>
        <v>84.5777777777602</v>
      </c>
      <c r="V176" s="1055">
        <f t="shared" si="59"/>
        <v>89.38333333327733</v>
      </c>
      <c r="W176" s="1056">
        <f t="shared" si="59"/>
        <v>72.08333333329143</v>
      </c>
      <c r="X176" s="1056">
        <f t="shared" si="59"/>
        <v>79.7722222222386</v>
      </c>
      <c r="Y176" s="1056">
        <f t="shared" si="59"/>
        <v>84.5777777777602</v>
      </c>
      <c r="Z176" s="1057">
        <f t="shared" si="59"/>
        <v>67.27777777776551</v>
      </c>
      <c r="AA176" s="1057">
        <f t="shared" si="58"/>
        <v>74.96666666671156</v>
      </c>
      <c r="AB176" s="1057">
        <f t="shared" si="58"/>
        <v>79.7722222222386</v>
      </c>
      <c r="AC176" s="1058">
        <f t="shared" si="58"/>
        <v>62.47222222223259</v>
      </c>
      <c r="AD176" s="1058">
        <f t="shared" si="58"/>
        <v>70.16111111106275</v>
      </c>
      <c r="AE176" s="1058">
        <f t="shared" si="58"/>
        <v>74.96666666671156</v>
      </c>
      <c r="AF176" s="1059">
        <f t="shared" si="60"/>
        <v>57.666666666690865</v>
      </c>
      <c r="AG176" s="1059">
        <f t="shared" si="60"/>
        <v>65.35555555553242</v>
      </c>
      <c r="AH176" s="1059">
        <f t="shared" si="60"/>
        <v>70.16111111106275</v>
      </c>
      <c r="AI176" s="1060">
        <f t="shared" si="60"/>
        <v>52.861111111095546</v>
      </c>
      <c r="AJ176" s="1060">
        <f t="shared" si="60"/>
        <v>60.55</v>
      </c>
      <c r="AK176" s="1060">
        <f t="shared" si="60"/>
        <v>65.35555555553242</v>
      </c>
    </row>
    <row r="177" spans="8:8" ht="15.75" customHeight="1">
      <c r="D177" s="1049">
        <f t="shared" si="44"/>
        <v>0.48333333333336476</v>
      </c>
      <c r="E177" s="1050">
        <f t="shared" si="41"/>
        <v>138.23333333334233</v>
      </c>
      <c r="F177" s="1050">
        <f t="shared" si="42"/>
        <v>145.96666666667616</v>
      </c>
      <c r="G177" s="1050">
        <f t="shared" si="42"/>
        <v>150.80000000000982</v>
      </c>
      <c r="H177" s="1051">
        <f t="shared" si="61"/>
        <v>128.5666666666461</v>
      </c>
      <c r="I177" s="1051">
        <f t="shared" si="61"/>
        <v>136.30000000006166</v>
      </c>
      <c r="J177" s="1051">
        <f t="shared" si="61"/>
        <v>141.1333333333539</v>
      </c>
      <c r="K177" s="1052">
        <f t="shared" si="61"/>
        <v>118.90000000006167</v>
      </c>
      <c r="L177" s="1052">
        <f t="shared" si="61"/>
        <v>126.63333333329223</v>
      </c>
      <c r="M177" s="1052">
        <f t="shared" si="61"/>
        <v>131.46666666659343</v>
      </c>
      <c r="N177" s="1053">
        <f t="shared" si="61"/>
        <v>87.0</v>
      </c>
      <c r="O177" s="1053">
        <f t="shared" si="61"/>
        <v>94.73333333341196</v>
      </c>
      <c r="P177" s="1053">
        <f t="shared" si="61"/>
        <v>99.56666666670777</v>
      </c>
      <c r="Q177" s="1054">
        <f t="shared" si="61"/>
        <v>82.16666666670037</v>
      </c>
      <c r="R177" s="1054">
        <f t="shared" si="57"/>
        <v>89.89999999994403</v>
      </c>
      <c r="S177" s="1054">
        <f t="shared" si="57"/>
        <v>94.73333333341196</v>
      </c>
      <c r="T177" s="1055">
        <f t="shared" si="57"/>
        <v>77.33333333339556</v>
      </c>
      <c r="U177" s="1055">
        <f t="shared" si="59"/>
        <v>85.06666666664911</v>
      </c>
      <c r="V177" s="1055">
        <f t="shared" si="59"/>
        <v>89.89999999994403</v>
      </c>
      <c r="W177" s="1056">
        <f t="shared" si="59"/>
        <v>72.49999999995813</v>
      </c>
      <c r="X177" s="1056">
        <f t="shared" si="59"/>
        <v>80.23333333334969</v>
      </c>
      <c r="Y177" s="1056">
        <f t="shared" si="59"/>
        <v>85.06666666664911</v>
      </c>
      <c r="Z177" s="1057">
        <f t="shared" si="59"/>
        <v>67.66666666665441</v>
      </c>
      <c r="AA177" s="1057">
        <f t="shared" si="58"/>
        <v>75.40000000004487</v>
      </c>
      <c r="AB177" s="1057">
        <f t="shared" si="58"/>
        <v>80.23333333334969</v>
      </c>
      <c r="AC177" s="1058">
        <f t="shared" si="58"/>
        <v>62.83333333334369</v>
      </c>
      <c r="AD177" s="1058">
        <f t="shared" si="58"/>
        <v>70.56666666661825</v>
      </c>
      <c r="AE177" s="1058">
        <f t="shared" si="58"/>
        <v>75.40000000004487</v>
      </c>
      <c r="AF177" s="1059">
        <f t="shared" si="60"/>
        <v>58.000000000024166</v>
      </c>
      <c r="AG177" s="1059">
        <f t="shared" si="60"/>
        <v>65.73333333331021</v>
      </c>
      <c r="AH177" s="1059">
        <f t="shared" si="60"/>
        <v>70.56666666661825</v>
      </c>
      <c r="AI177" s="1060">
        <f t="shared" si="60"/>
        <v>53.166666666651146</v>
      </c>
      <c r="AJ177" s="1060">
        <f t="shared" si="60"/>
        <v>60.9</v>
      </c>
      <c r="AK177" s="1060">
        <f t="shared" si="60"/>
        <v>65.73333333331021</v>
      </c>
    </row>
    <row r="178" spans="8:8" ht="15.75" customHeight="1">
      <c r="D178" s="1049">
        <f t="shared" si="44"/>
        <v>0.48611111111114275</v>
      </c>
      <c r="E178" s="1050">
        <f t="shared" si="41"/>
        <v>139.02777777778684</v>
      </c>
      <c r="F178" s="1050">
        <f t="shared" si="42"/>
        <v>146.80555555556512</v>
      </c>
      <c r="G178" s="1050">
        <f t="shared" si="42"/>
        <v>151.66666666667655</v>
      </c>
      <c r="H178" s="1051">
        <f t="shared" si="61"/>
        <v>129.3055555555351</v>
      </c>
      <c r="I178" s="1051">
        <f t="shared" si="61"/>
        <v>137.08333333339468</v>
      </c>
      <c r="J178" s="1051">
        <f t="shared" si="61"/>
        <v>141.9444444444649</v>
      </c>
      <c r="K178" s="1052">
        <f t="shared" si="61"/>
        <v>119.58333333339466</v>
      </c>
      <c r="L178" s="1052">
        <f t="shared" si="61"/>
        <v>127.36111111107023</v>
      </c>
      <c r="M178" s="1052">
        <f t="shared" si="61"/>
        <v>132.22222222214944</v>
      </c>
      <c r="N178" s="1053">
        <f t="shared" si="61"/>
        <v>87.5</v>
      </c>
      <c r="O178" s="1053">
        <f t="shared" si="61"/>
        <v>95.27777777785636</v>
      </c>
      <c r="P178" s="1053">
        <f t="shared" si="61"/>
        <v>100.13888888892977</v>
      </c>
      <c r="Q178" s="1054">
        <f t="shared" si="61"/>
        <v>82.63888888892257</v>
      </c>
      <c r="R178" s="1054">
        <f t="shared" si="57"/>
        <v>90.41666666661074</v>
      </c>
      <c r="S178" s="1054">
        <f t="shared" si="57"/>
        <v>95.27777777785636</v>
      </c>
      <c r="T178" s="1055">
        <f t="shared" si="57"/>
        <v>77.77777777783996</v>
      </c>
      <c r="U178" s="1055">
        <f t="shared" si="59"/>
        <v>85.555555555538</v>
      </c>
      <c r="V178" s="1055">
        <f t="shared" si="59"/>
        <v>90.41666666661074</v>
      </c>
      <c r="W178" s="1056">
        <f t="shared" si="59"/>
        <v>72.91666666662483</v>
      </c>
      <c r="X178" s="1056">
        <f t="shared" si="59"/>
        <v>80.69444444446079</v>
      </c>
      <c r="Y178" s="1056">
        <f t="shared" si="59"/>
        <v>85.555555555538</v>
      </c>
      <c r="Z178" s="1057">
        <f t="shared" si="59"/>
        <v>68.05555555554331</v>
      </c>
      <c r="AA178" s="1057">
        <f t="shared" si="58"/>
        <v>75.83333333337816</v>
      </c>
      <c r="AB178" s="1057">
        <f t="shared" si="58"/>
        <v>80.69444444446079</v>
      </c>
      <c r="AC178" s="1058">
        <f t="shared" si="58"/>
        <v>63.19444444445479</v>
      </c>
      <c r="AD178" s="1058">
        <f t="shared" si="58"/>
        <v>70.97222222217376</v>
      </c>
      <c r="AE178" s="1058">
        <f t="shared" si="58"/>
        <v>75.83333333337816</v>
      </c>
      <c r="AF178" s="1059">
        <f t="shared" si="60"/>
        <v>58.333333333357466</v>
      </c>
      <c r="AG178" s="1059">
        <f t="shared" si="60"/>
        <v>66.11111111108802</v>
      </c>
      <c r="AH178" s="1059">
        <f t="shared" si="60"/>
        <v>70.97222222217376</v>
      </c>
      <c r="AI178" s="1060">
        <f t="shared" si="60"/>
        <v>53.472222222206746</v>
      </c>
      <c r="AJ178" s="1060">
        <f t="shared" si="60"/>
        <v>61.25</v>
      </c>
      <c r="AK178" s="1060">
        <f t="shared" si="60"/>
        <v>66.11111111108802</v>
      </c>
    </row>
    <row r="179" spans="8:8" ht="15.75" customHeight="1">
      <c r="D179" s="1049">
        <f t="shared" si="44"/>
        <v>0.4888888888889208</v>
      </c>
      <c r="E179" s="1050">
        <f t="shared" si="41"/>
        <v>139.82222222223135</v>
      </c>
      <c r="F179" s="1050">
        <f t="shared" si="42"/>
        <v>147.64444444445408</v>
      </c>
      <c r="G179" s="1050">
        <f t="shared" si="42"/>
        <v>152.53333333334328</v>
      </c>
      <c r="H179" s="1051">
        <f t="shared" si="61"/>
        <v>130.04444444442413</v>
      </c>
      <c r="I179" s="1051">
        <f t="shared" si="61"/>
        <v>137.86666666672767</v>
      </c>
      <c r="J179" s="1051">
        <f t="shared" si="61"/>
        <v>142.7555555555759</v>
      </c>
      <c r="K179" s="1052">
        <f t="shared" si="61"/>
        <v>120.26666666672766</v>
      </c>
      <c r="L179" s="1052">
        <f t="shared" si="61"/>
        <v>128.0888888888482</v>
      </c>
      <c r="M179" s="1052">
        <f t="shared" si="61"/>
        <v>132.97777777770543</v>
      </c>
      <c r="N179" s="1053">
        <f t="shared" si="61"/>
        <v>88.0</v>
      </c>
      <c r="O179" s="1053">
        <f t="shared" si="61"/>
        <v>95.82222222230077</v>
      </c>
      <c r="P179" s="1053">
        <f t="shared" si="61"/>
        <v>100.71111111115178</v>
      </c>
      <c r="Q179" s="1054">
        <f t="shared" si="61"/>
        <v>83.11111111114477</v>
      </c>
      <c r="R179" s="1054">
        <f t="shared" si="57"/>
        <v>90.93333333327743</v>
      </c>
      <c r="S179" s="1054">
        <f t="shared" si="57"/>
        <v>95.82222222230077</v>
      </c>
      <c r="T179" s="1055">
        <f t="shared" si="57"/>
        <v>78.22222222228436</v>
      </c>
      <c r="U179" s="1055">
        <f t="shared" si="59"/>
        <v>86.0444444444269</v>
      </c>
      <c r="V179" s="1055">
        <f t="shared" si="59"/>
        <v>90.93333333327743</v>
      </c>
      <c r="W179" s="1056">
        <f t="shared" si="59"/>
        <v>73.33333333329153</v>
      </c>
      <c r="X179" s="1056">
        <f t="shared" si="59"/>
        <v>81.1555555555719</v>
      </c>
      <c r="Y179" s="1056">
        <f t="shared" si="59"/>
        <v>86.0444444444269</v>
      </c>
      <c r="Z179" s="1057">
        <f t="shared" si="59"/>
        <v>68.44444444443221</v>
      </c>
      <c r="AA179" s="1057">
        <f t="shared" si="58"/>
        <v>76.26666666671146</v>
      </c>
      <c r="AB179" s="1057">
        <f t="shared" si="58"/>
        <v>81.1555555555719</v>
      </c>
      <c r="AC179" s="1058">
        <f t="shared" si="58"/>
        <v>63.55555555556589</v>
      </c>
      <c r="AD179" s="1058">
        <f t="shared" si="58"/>
        <v>71.37777777772925</v>
      </c>
      <c r="AE179" s="1058">
        <f t="shared" si="58"/>
        <v>76.26666666671146</v>
      </c>
      <c r="AF179" s="1059">
        <f t="shared" si="60"/>
        <v>58.666666666690766</v>
      </c>
      <c r="AG179" s="1059">
        <f t="shared" si="60"/>
        <v>66.48888888886582</v>
      </c>
      <c r="AH179" s="1059">
        <f t="shared" si="60"/>
        <v>71.37777777772925</v>
      </c>
      <c r="AI179" s="1060">
        <f t="shared" si="60"/>
        <v>53.777777777762346</v>
      </c>
      <c r="AJ179" s="1060">
        <f t="shared" si="60"/>
        <v>61.6</v>
      </c>
      <c r="AK179" s="1060">
        <f t="shared" si="60"/>
        <v>66.48888888886582</v>
      </c>
    </row>
    <row r="180" spans="8:8" ht="15.75" customHeight="1">
      <c r="D180" s="1049">
        <f t="shared" si="44"/>
        <v>0.4916666666666988</v>
      </c>
      <c r="E180" s="1050">
        <f t="shared" si="41"/>
        <v>140.61666666667585</v>
      </c>
      <c r="F180" s="1050">
        <f t="shared" si="42"/>
        <v>148.48333333334304</v>
      </c>
      <c r="G180" s="1050">
        <f t="shared" si="42"/>
        <v>153.40000000001</v>
      </c>
      <c r="H180" s="1051">
        <f t="shared" si="61"/>
        <v>130.78333333331312</v>
      </c>
      <c r="I180" s="1051">
        <f t="shared" si="61"/>
        <v>138.65000000006066</v>
      </c>
      <c r="J180" s="1051">
        <f t="shared" si="61"/>
        <v>143.5666666666869</v>
      </c>
      <c r="K180" s="1052">
        <f t="shared" si="61"/>
        <v>120.95000000006067</v>
      </c>
      <c r="L180" s="1052">
        <f t="shared" si="61"/>
        <v>128.81666666662622</v>
      </c>
      <c r="M180" s="1052">
        <f t="shared" si="61"/>
        <v>133.73333333326144</v>
      </c>
      <c r="N180" s="1053">
        <f t="shared" si="61"/>
        <v>88.5</v>
      </c>
      <c r="O180" s="1053">
        <f t="shared" si="61"/>
        <v>96.36666666674516</v>
      </c>
      <c r="P180" s="1053">
        <f t="shared" si="61"/>
        <v>101.28333333337378</v>
      </c>
      <c r="Q180" s="1054">
        <f t="shared" si="61"/>
        <v>83.58333333336697</v>
      </c>
      <c r="R180" s="1054">
        <f t="shared" si="57"/>
        <v>91.44999999994414</v>
      </c>
      <c r="S180" s="1054">
        <f t="shared" si="57"/>
        <v>96.36666666674516</v>
      </c>
      <c r="T180" s="1055">
        <f t="shared" si="57"/>
        <v>78.66666666672876</v>
      </c>
      <c r="U180" s="1055">
        <f t="shared" si="59"/>
        <v>86.53333333331581</v>
      </c>
      <c r="V180" s="1055">
        <f t="shared" si="59"/>
        <v>91.44999999994414</v>
      </c>
      <c r="W180" s="1056">
        <f t="shared" si="59"/>
        <v>73.74999999995823</v>
      </c>
      <c r="X180" s="1056">
        <f t="shared" si="59"/>
        <v>81.61666666668299</v>
      </c>
      <c r="Y180" s="1056">
        <f t="shared" si="59"/>
        <v>86.53333333331581</v>
      </c>
      <c r="Z180" s="1057">
        <f t="shared" si="59"/>
        <v>68.83333333332111</v>
      </c>
      <c r="AA180" s="1057">
        <f t="shared" si="58"/>
        <v>76.70000000004477</v>
      </c>
      <c r="AB180" s="1057">
        <f t="shared" si="58"/>
        <v>81.61666666668299</v>
      </c>
      <c r="AC180" s="1058">
        <f t="shared" si="58"/>
        <v>63.91666666667699</v>
      </c>
      <c r="AD180" s="1058">
        <f t="shared" si="58"/>
        <v>71.78333333328484</v>
      </c>
      <c r="AE180" s="1058">
        <f t="shared" si="58"/>
        <v>76.70000000004477</v>
      </c>
      <c r="AF180" s="1059">
        <f t="shared" si="60"/>
        <v>59.000000000024066</v>
      </c>
      <c r="AG180" s="1059">
        <f t="shared" si="60"/>
        <v>66.86666666664362</v>
      </c>
      <c r="AH180" s="1059">
        <f t="shared" si="60"/>
        <v>71.78333333328484</v>
      </c>
      <c r="AI180" s="1060">
        <f t="shared" si="60"/>
        <v>54.083333333317945</v>
      </c>
      <c r="AJ180" s="1060">
        <f t="shared" si="60"/>
        <v>61.949999999999996</v>
      </c>
      <c r="AK180" s="1060">
        <f t="shared" si="60"/>
        <v>66.86666666664362</v>
      </c>
    </row>
    <row r="181" spans="8:8" ht="15.75" customHeight="1">
      <c r="D181" s="1049">
        <f t="shared" si="44"/>
        <v>0.49444444444447677</v>
      </c>
      <c r="E181" s="1050">
        <f t="shared" si="41"/>
        <v>141.41111111112036</v>
      </c>
      <c r="F181" s="1050">
        <f t="shared" si="42"/>
        <v>149.32222222223197</v>
      </c>
      <c r="G181" s="1050">
        <f t="shared" si="42"/>
        <v>154.26666666667674</v>
      </c>
      <c r="H181" s="1051">
        <f t="shared" si="61"/>
        <v>131.52222222220212</v>
      </c>
      <c r="I181" s="1051">
        <f t="shared" si="61"/>
        <v>139.43333333339368</v>
      </c>
      <c r="J181" s="1051">
        <f t="shared" si="61"/>
        <v>144.3777777777979</v>
      </c>
      <c r="K181" s="1052">
        <f t="shared" si="61"/>
        <v>121.63333333339367</v>
      </c>
      <c r="L181" s="1052">
        <f t="shared" si="61"/>
        <v>129.5444444444042</v>
      </c>
      <c r="M181" s="1052">
        <f t="shared" si="61"/>
        <v>134.48888888881743</v>
      </c>
      <c r="N181" s="1053">
        <f t="shared" si="61"/>
        <v>89.0</v>
      </c>
      <c r="O181" s="1053">
        <f t="shared" si="61"/>
        <v>96.91111111118957</v>
      </c>
      <c r="P181" s="1053">
        <f t="shared" si="61"/>
        <v>101.85555555559577</v>
      </c>
      <c r="Q181" s="1054">
        <f t="shared" si="61"/>
        <v>84.05555555558917</v>
      </c>
      <c r="R181" s="1054">
        <f t="shared" si="57"/>
        <v>91.96666666661083</v>
      </c>
      <c r="S181" s="1054">
        <f t="shared" si="57"/>
        <v>96.91111111118957</v>
      </c>
      <c r="T181" s="1055">
        <f t="shared" si="57"/>
        <v>79.11111111117316</v>
      </c>
      <c r="U181" s="1055">
        <f t="shared" si="59"/>
        <v>87.0222222222047</v>
      </c>
      <c r="V181" s="1055">
        <f t="shared" si="59"/>
        <v>91.96666666661083</v>
      </c>
      <c r="W181" s="1056">
        <f t="shared" si="59"/>
        <v>74.16666666662493</v>
      </c>
      <c r="X181" s="1056">
        <f t="shared" si="59"/>
        <v>82.0777777777941</v>
      </c>
      <c r="Y181" s="1056">
        <f t="shared" si="59"/>
        <v>87.0222222222047</v>
      </c>
      <c r="Z181" s="1057">
        <f t="shared" si="59"/>
        <v>69.22222222221001</v>
      </c>
      <c r="AA181" s="1057">
        <f t="shared" si="58"/>
        <v>77.13333333337806</v>
      </c>
      <c r="AB181" s="1057">
        <f t="shared" si="58"/>
        <v>82.0777777777941</v>
      </c>
      <c r="AC181" s="1058">
        <f t="shared" si="58"/>
        <v>64.27777777778809</v>
      </c>
      <c r="AD181" s="1058">
        <f t="shared" si="58"/>
        <v>72.18888888884035</v>
      </c>
      <c r="AE181" s="1058">
        <f t="shared" si="58"/>
        <v>77.13333333337806</v>
      </c>
      <c r="AF181" s="1059">
        <f t="shared" si="60"/>
        <v>59.333333333357366</v>
      </c>
      <c r="AG181" s="1059">
        <f t="shared" si="60"/>
        <v>67.24444444442142</v>
      </c>
      <c r="AH181" s="1059">
        <f t="shared" si="60"/>
        <v>72.18888888884035</v>
      </c>
      <c r="AI181" s="1060">
        <f t="shared" si="60"/>
        <v>54.388888888873545</v>
      </c>
      <c r="AJ181" s="1060">
        <f t="shared" si="60"/>
        <v>62.3</v>
      </c>
      <c r="AK181" s="1060">
        <f t="shared" si="60"/>
        <v>67.24444444442142</v>
      </c>
    </row>
    <row r="182" spans="8:8" ht="15.75" customHeight="1">
      <c r="D182" s="1049">
        <f t="shared" si="44"/>
        <v>0.49722222222225476</v>
      </c>
      <c r="E182" s="1050">
        <f t="shared" si="41"/>
        <v>142.20555555556487</v>
      </c>
      <c r="F182" s="1050">
        <f t="shared" si="42"/>
        <v>150.16111111112093</v>
      </c>
      <c r="G182" s="1050">
        <f t="shared" si="42"/>
        <v>155.13333333334347</v>
      </c>
      <c r="H182" s="1051">
        <f t="shared" si="61"/>
        <v>132.2611111110911</v>
      </c>
      <c r="I182" s="1051">
        <f t="shared" si="61"/>
        <v>140.21666666672667</v>
      </c>
      <c r="J182" s="1051">
        <f t="shared" si="61"/>
        <v>145.1888888889089</v>
      </c>
      <c r="K182" s="1052">
        <f t="shared" si="61"/>
        <v>122.31666666672666</v>
      </c>
      <c r="L182" s="1052">
        <f t="shared" si="61"/>
        <v>130.27222222218222</v>
      </c>
      <c r="M182" s="1052">
        <f t="shared" si="61"/>
        <v>135.24444444437344</v>
      </c>
      <c r="N182" s="1053">
        <f t="shared" si="61"/>
        <v>89.5</v>
      </c>
      <c r="O182" s="1053">
        <f t="shared" si="61"/>
        <v>97.45555555563396</v>
      </c>
      <c r="P182" s="1053">
        <f t="shared" si="61"/>
        <v>102.42777777781778</v>
      </c>
      <c r="Q182" s="1054">
        <f t="shared" si="61"/>
        <v>84.52777777781137</v>
      </c>
      <c r="R182" s="1054">
        <f t="shared" si="57"/>
        <v>92.48333333327753</v>
      </c>
      <c r="S182" s="1054">
        <f t="shared" si="57"/>
        <v>97.45555555563396</v>
      </c>
      <c r="T182" s="1055">
        <f t="shared" si="57"/>
        <v>79.55555555561756</v>
      </c>
      <c r="U182" s="1055">
        <f t="shared" si="59"/>
        <v>87.51111111109361</v>
      </c>
      <c r="V182" s="1055">
        <f t="shared" si="59"/>
        <v>92.48333333327753</v>
      </c>
      <c r="W182" s="1056">
        <f t="shared" si="59"/>
        <v>74.58333333329163</v>
      </c>
      <c r="X182" s="1056">
        <f t="shared" si="59"/>
        <v>82.53888888890519</v>
      </c>
      <c r="Y182" s="1056">
        <f t="shared" si="59"/>
        <v>87.51111111109361</v>
      </c>
      <c r="Z182" s="1057">
        <f t="shared" si="59"/>
        <v>69.61111111109892</v>
      </c>
      <c r="AA182" s="1057">
        <f t="shared" si="58"/>
        <v>77.56666666671136</v>
      </c>
      <c r="AB182" s="1057">
        <f t="shared" si="58"/>
        <v>82.53888888890519</v>
      </c>
      <c r="AC182" s="1058">
        <f t="shared" si="58"/>
        <v>64.63888888889919</v>
      </c>
      <c r="AD182" s="1058">
        <f t="shared" si="58"/>
        <v>72.59444444439585</v>
      </c>
      <c r="AE182" s="1058">
        <f t="shared" si="58"/>
        <v>77.56666666671136</v>
      </c>
      <c r="AF182" s="1059">
        <f t="shared" si="60"/>
        <v>59.666666666690666</v>
      </c>
      <c r="AG182" s="1059">
        <f t="shared" si="60"/>
        <v>67.62222222219923</v>
      </c>
      <c r="AH182" s="1059">
        <f t="shared" si="60"/>
        <v>72.59444444439585</v>
      </c>
      <c r="AI182" s="1060">
        <f t="shared" si="60"/>
        <v>54.694444444429145</v>
      </c>
      <c r="AJ182" s="1060">
        <f t="shared" si="60"/>
        <v>62.65</v>
      </c>
      <c r="AK182" s="1060">
        <f t="shared" si="60"/>
        <v>67.62222222219923</v>
      </c>
    </row>
    <row r="183" spans="8:8" ht="15.75" customHeight="1">
      <c r="D183" s="1049">
        <f t="shared" si="44"/>
        <v>0.5000000000000328</v>
      </c>
      <c r="E183" s="1050">
        <f t="shared" si="41"/>
        <v>143.00000000000938</v>
      </c>
      <c r="F183" s="1050">
        <f t="shared" si="42"/>
        <v>151.0000000000099</v>
      </c>
      <c r="G183" s="1050">
        <f t="shared" si="42"/>
        <v>156.00000000001023</v>
      </c>
      <c r="H183" s="1051">
        <f t="shared" si="61"/>
        <v>132.99999999998013</v>
      </c>
      <c r="I183" s="1051">
        <f t="shared" si="61"/>
        <v>141.00000000005966</v>
      </c>
      <c r="J183" s="1051">
        <f t="shared" si="61"/>
        <v>146.0000000000199</v>
      </c>
      <c r="K183" s="1052">
        <f t="shared" si="61"/>
        <v>123.00000000005966</v>
      </c>
      <c r="L183" s="1052">
        <f t="shared" si="61"/>
        <v>130.9999999999602</v>
      </c>
      <c r="M183" s="1052">
        <f t="shared" si="61"/>
        <v>135.99999999992943</v>
      </c>
      <c r="N183" s="1053">
        <f t="shared" si="61"/>
        <v>90.0</v>
      </c>
      <c r="O183" s="1053">
        <f t="shared" si="61"/>
        <v>98.00000000007836</v>
      </c>
      <c r="P183" s="1053">
        <f t="shared" si="61"/>
        <v>103.00000000003978</v>
      </c>
      <c r="Q183" s="1054">
        <f t="shared" si="61"/>
        <v>85.00000000003357</v>
      </c>
      <c r="R183" s="1054">
        <f t="shared" si="62" ref="R183:T199">R184-(R$363/360)</f>
        <v>92.99999999994424</v>
      </c>
      <c r="S183" s="1054">
        <f t="shared" si="62"/>
        <v>98.00000000007836</v>
      </c>
      <c r="T183" s="1055">
        <f t="shared" si="62"/>
        <v>80.00000000006196</v>
      </c>
      <c r="U183" s="1055">
        <f t="shared" si="59"/>
        <v>87.9999999999825</v>
      </c>
      <c r="V183" s="1055">
        <f t="shared" si="59"/>
        <v>92.99999999994424</v>
      </c>
      <c r="W183" s="1056">
        <f t="shared" si="59"/>
        <v>74.99999999995833</v>
      </c>
      <c r="X183" s="1056">
        <f t="shared" si="59"/>
        <v>83.00000000001629</v>
      </c>
      <c r="Y183" s="1056">
        <f t="shared" si="59"/>
        <v>87.9999999999825</v>
      </c>
      <c r="Z183" s="1057">
        <f t="shared" si="59"/>
        <v>69.99999999998782</v>
      </c>
      <c r="AA183" s="1057">
        <f t="shared" si="58"/>
        <v>78.00000000004466</v>
      </c>
      <c r="AB183" s="1057">
        <f t="shared" si="58"/>
        <v>83.00000000001629</v>
      </c>
      <c r="AC183" s="1058">
        <f t="shared" si="58"/>
        <v>65.00000000001029</v>
      </c>
      <c r="AD183" s="1058">
        <f t="shared" si="58"/>
        <v>72.99999999995144</v>
      </c>
      <c r="AE183" s="1058">
        <f t="shared" si="58"/>
        <v>78.00000000004466</v>
      </c>
      <c r="AF183" s="1059">
        <f t="shared" si="60"/>
        <v>60.00000000002397</v>
      </c>
      <c r="AG183" s="1059">
        <f t="shared" si="60"/>
        <v>67.99999999997702</v>
      </c>
      <c r="AH183" s="1059">
        <f t="shared" si="60"/>
        <v>72.99999999995144</v>
      </c>
      <c r="AI183" s="1060">
        <f t="shared" si="60"/>
        <v>54.999999999984745</v>
      </c>
      <c r="AJ183" s="1060">
        <f t="shared" si="60"/>
        <v>63.0</v>
      </c>
      <c r="AK183" s="1060">
        <f t="shared" si="60"/>
        <v>67.99999999997702</v>
      </c>
    </row>
    <row r="184" spans="8:8" ht="15.75" customHeight="1">
      <c r="D184" s="1049">
        <f t="shared" si="44"/>
        <v>0.5027777777778107</v>
      </c>
      <c r="E184" s="1050">
        <f t="shared" si="41"/>
        <v>143.79444444445386</v>
      </c>
      <c r="F184" s="1050">
        <f t="shared" si="42"/>
        <v>151.83888888889885</v>
      </c>
      <c r="G184" s="1050">
        <f t="shared" si="42"/>
        <v>156.86666666667696</v>
      </c>
      <c r="H184" s="1051">
        <f t="shared" si="61"/>
        <v>133.73888888886913</v>
      </c>
      <c r="I184" s="1051">
        <f t="shared" si="61"/>
        <v>141.78333333339268</v>
      </c>
      <c r="J184" s="1051">
        <f t="shared" si="61"/>
        <v>146.81111111113088</v>
      </c>
      <c r="K184" s="1052">
        <f t="shared" si="61"/>
        <v>123.68333333339267</v>
      </c>
      <c r="L184" s="1052">
        <f t="shared" si="61"/>
        <v>131.72777777773823</v>
      </c>
      <c r="M184" s="1052">
        <f t="shared" si="61"/>
        <v>136.75555555548544</v>
      </c>
      <c r="N184" s="1053">
        <f t="shared" si="61"/>
        <v>90.5</v>
      </c>
      <c r="O184" s="1053">
        <f t="shared" si="61"/>
        <v>98.54444444452277</v>
      </c>
      <c r="P184" s="1053">
        <f t="shared" si="61"/>
        <v>103.57222222226177</v>
      </c>
      <c r="Q184" s="1054">
        <f t="shared" si="61"/>
        <v>85.47222222225577</v>
      </c>
      <c r="R184" s="1054">
        <f t="shared" si="62"/>
        <v>93.51666666661093</v>
      </c>
      <c r="S184" s="1054">
        <f t="shared" si="62"/>
        <v>98.54444444452277</v>
      </c>
      <c r="T184" s="1055">
        <f t="shared" si="62"/>
        <v>80.44444444450636</v>
      </c>
      <c r="U184" s="1055">
        <f t="shared" si="59"/>
        <v>88.4888888888714</v>
      </c>
      <c r="V184" s="1055">
        <f t="shared" si="59"/>
        <v>93.51666666661093</v>
      </c>
      <c r="W184" s="1056">
        <f t="shared" si="59"/>
        <v>75.41666666662503</v>
      </c>
      <c r="X184" s="1056">
        <f t="shared" si="59"/>
        <v>83.4611111111274</v>
      </c>
      <c r="Y184" s="1056">
        <f t="shared" si="59"/>
        <v>88.4888888888714</v>
      </c>
      <c r="Z184" s="1057">
        <f t="shared" si="59"/>
        <v>70.38888888887672</v>
      </c>
      <c r="AA184" s="1057">
        <f t="shared" si="58"/>
        <v>78.43333333337796</v>
      </c>
      <c r="AB184" s="1057">
        <f t="shared" si="58"/>
        <v>83.4611111111274</v>
      </c>
      <c r="AC184" s="1058">
        <f t="shared" si="58"/>
        <v>65.36111111112139</v>
      </c>
      <c r="AD184" s="1058">
        <f t="shared" si="58"/>
        <v>73.40555555550695</v>
      </c>
      <c r="AE184" s="1058">
        <f t="shared" si="58"/>
        <v>78.43333333337796</v>
      </c>
      <c r="AF184" s="1059">
        <f t="shared" si="60"/>
        <v>60.33333333335727</v>
      </c>
      <c r="AG184" s="1059">
        <f t="shared" si="60"/>
        <v>68.37777777775482</v>
      </c>
      <c r="AH184" s="1059">
        <f t="shared" si="60"/>
        <v>73.40555555550695</v>
      </c>
      <c r="AI184" s="1060">
        <f t="shared" si="60"/>
        <v>55.305555555540344</v>
      </c>
      <c r="AJ184" s="1060">
        <f t="shared" si="60"/>
        <v>63.35</v>
      </c>
      <c r="AK184" s="1060">
        <f t="shared" si="60"/>
        <v>68.37777777775482</v>
      </c>
    </row>
    <row r="185" spans="8:8" ht="15.75" customHeight="1">
      <c r="D185" s="1049">
        <f t="shared" si="44"/>
        <v>0.5055555555555887</v>
      </c>
      <c r="E185" s="1050">
        <f t="shared" si="41"/>
        <v>144.58888888889837</v>
      </c>
      <c r="F185" s="1050">
        <f t="shared" si="42"/>
        <v>152.6777777777878</v>
      </c>
      <c r="G185" s="1050">
        <f t="shared" si="42"/>
        <v>157.7333333333437</v>
      </c>
      <c r="H185" s="1051">
        <f t="shared" si="61"/>
        <v>134.47777777775812</v>
      </c>
      <c r="I185" s="1051">
        <f t="shared" si="61"/>
        <v>142.56666666672567</v>
      </c>
      <c r="J185" s="1051">
        <f t="shared" si="61"/>
        <v>147.6222222222419</v>
      </c>
      <c r="K185" s="1052">
        <f t="shared" si="61"/>
        <v>124.36666666672566</v>
      </c>
      <c r="L185" s="1052">
        <f t="shared" si="61"/>
        <v>132.4555555555162</v>
      </c>
      <c r="M185" s="1052">
        <f t="shared" si="61"/>
        <v>137.51111111104143</v>
      </c>
      <c r="N185" s="1053">
        <f t="shared" si="61"/>
        <v>91.0</v>
      </c>
      <c r="O185" s="1053">
        <f t="shared" si="61"/>
        <v>99.08888888896716</v>
      </c>
      <c r="P185" s="1053">
        <f t="shared" si="61"/>
        <v>104.14444444448378</v>
      </c>
      <c r="Q185" s="1054">
        <f t="shared" si="61"/>
        <v>85.94444444447797</v>
      </c>
      <c r="R185" s="1054">
        <f t="shared" si="62"/>
        <v>94.03333333327764</v>
      </c>
      <c r="S185" s="1054">
        <f t="shared" si="62"/>
        <v>99.08888888896716</v>
      </c>
      <c r="T185" s="1055">
        <f t="shared" si="62"/>
        <v>80.88888888895076</v>
      </c>
      <c r="U185" s="1055">
        <f t="shared" si="59"/>
        <v>88.97777777776031</v>
      </c>
      <c r="V185" s="1055">
        <f t="shared" si="59"/>
        <v>94.03333333327764</v>
      </c>
      <c r="W185" s="1056">
        <f t="shared" si="59"/>
        <v>75.83333333329173</v>
      </c>
      <c r="X185" s="1056">
        <f t="shared" si="59"/>
        <v>83.92222222223849</v>
      </c>
      <c r="Y185" s="1056">
        <f t="shared" si="59"/>
        <v>88.97777777776031</v>
      </c>
      <c r="Z185" s="1057">
        <f t="shared" si="59"/>
        <v>70.77777777776562</v>
      </c>
      <c r="AA185" s="1057">
        <f t="shared" si="58"/>
        <v>78.86666666671127</v>
      </c>
      <c r="AB185" s="1057">
        <f t="shared" si="58"/>
        <v>83.92222222223849</v>
      </c>
      <c r="AC185" s="1058">
        <f t="shared" si="58"/>
        <v>65.72222222223249</v>
      </c>
      <c r="AD185" s="1058">
        <f t="shared" si="58"/>
        <v>73.81111111106254</v>
      </c>
      <c r="AE185" s="1058">
        <f t="shared" si="58"/>
        <v>78.86666666671127</v>
      </c>
      <c r="AF185" s="1059">
        <f t="shared" si="60"/>
        <v>60.66666666669057</v>
      </c>
      <c r="AG185" s="1059">
        <f t="shared" si="60"/>
        <v>68.75555555553262</v>
      </c>
      <c r="AH185" s="1059">
        <f t="shared" si="60"/>
        <v>73.81111111106254</v>
      </c>
      <c r="AI185" s="1060">
        <f t="shared" si="60"/>
        <v>55.611111111095944</v>
      </c>
      <c r="AJ185" s="1060">
        <f t="shared" si="60"/>
        <v>63.699999999999996</v>
      </c>
      <c r="AK185" s="1060">
        <f t="shared" si="60"/>
        <v>68.75555555553262</v>
      </c>
    </row>
    <row r="186" spans="8:8" ht="15.75" customHeight="1">
      <c r="D186" s="1049">
        <f t="shared" si="44"/>
        <v>0.5083333333333667</v>
      </c>
      <c r="E186" s="1050">
        <f t="shared" si="41"/>
        <v>145.38333333334288</v>
      </c>
      <c r="F186" s="1050">
        <f t="shared" si="42"/>
        <v>153.51666666667674</v>
      </c>
      <c r="G186" s="1050">
        <f t="shared" si="42"/>
        <v>158.60000000001043</v>
      </c>
      <c r="H186" s="1051">
        <f t="shared" si="61"/>
        <v>135.21666666664711</v>
      </c>
      <c r="I186" s="1051">
        <f t="shared" si="61"/>
        <v>143.35000000005866</v>
      </c>
      <c r="J186" s="1051">
        <f t="shared" si="61"/>
        <v>148.4333333333529</v>
      </c>
      <c r="K186" s="1052">
        <f t="shared" si="61"/>
        <v>125.05000000005866</v>
      </c>
      <c r="L186" s="1052">
        <f t="shared" si="61"/>
        <v>133.1833333332942</v>
      </c>
      <c r="M186" s="1052">
        <f t="shared" si="61"/>
        <v>138.26666666659744</v>
      </c>
      <c r="N186" s="1053">
        <f t="shared" si="61"/>
        <v>91.5</v>
      </c>
      <c r="O186" s="1053">
        <f t="shared" si="61"/>
        <v>99.63333333341156</v>
      </c>
      <c r="P186" s="1053">
        <f t="shared" si="61"/>
        <v>104.71666666670578</v>
      </c>
      <c r="Q186" s="1054">
        <f t="shared" si="61"/>
        <v>86.41666666670017</v>
      </c>
      <c r="R186" s="1054">
        <f t="shared" si="62"/>
        <v>94.54999999994433</v>
      </c>
      <c r="S186" s="1054">
        <f t="shared" si="62"/>
        <v>99.63333333341156</v>
      </c>
      <c r="T186" s="1055">
        <f t="shared" si="62"/>
        <v>81.33333333339516</v>
      </c>
      <c r="U186" s="1055">
        <f t="shared" si="59"/>
        <v>89.4666666666492</v>
      </c>
      <c r="V186" s="1055">
        <f t="shared" si="59"/>
        <v>94.54999999994433</v>
      </c>
      <c r="W186" s="1056">
        <f t="shared" si="59"/>
        <v>76.24999999995843</v>
      </c>
      <c r="X186" s="1056">
        <f t="shared" si="59"/>
        <v>84.3833333333496</v>
      </c>
      <c r="Y186" s="1056">
        <f t="shared" si="59"/>
        <v>89.4666666666492</v>
      </c>
      <c r="Z186" s="1057">
        <f t="shared" si="59"/>
        <v>71.16666666665452</v>
      </c>
      <c r="AA186" s="1057">
        <f t="shared" si="58"/>
        <v>79.30000000004456</v>
      </c>
      <c r="AB186" s="1057">
        <f t="shared" si="58"/>
        <v>84.3833333333496</v>
      </c>
      <c r="AC186" s="1058">
        <f t="shared" si="58"/>
        <v>66.08333333334359</v>
      </c>
      <c r="AD186" s="1058">
        <f t="shared" si="58"/>
        <v>74.21666666661805</v>
      </c>
      <c r="AE186" s="1058">
        <f t="shared" si="58"/>
        <v>79.30000000004456</v>
      </c>
      <c r="AF186" s="1059">
        <f t="shared" si="60"/>
        <v>61.00000000002387</v>
      </c>
      <c r="AG186" s="1059">
        <f t="shared" si="60"/>
        <v>69.13333333331042</v>
      </c>
      <c r="AH186" s="1059">
        <f t="shared" si="60"/>
        <v>74.21666666661805</v>
      </c>
      <c r="AI186" s="1060">
        <f t="shared" si="60"/>
        <v>55.916666666651544</v>
      </c>
      <c r="AJ186" s="1060">
        <f t="shared" si="60"/>
        <v>64.05000000000001</v>
      </c>
      <c r="AK186" s="1060">
        <f t="shared" si="60"/>
        <v>69.13333333331042</v>
      </c>
    </row>
    <row r="187" spans="8:8" ht="15.75" customHeight="1">
      <c r="D187" s="1049">
        <f t="shared" si="44"/>
        <v>0.5111111111111448</v>
      </c>
      <c r="E187" s="1050">
        <f t="shared" si="41"/>
        <v>146.1777777777874</v>
      </c>
      <c r="F187" s="1050">
        <f t="shared" si="42"/>
        <v>154.35555555556573</v>
      </c>
      <c r="G187" s="1050">
        <f t="shared" si="42"/>
        <v>159.46666666667718</v>
      </c>
      <c r="H187" s="1051">
        <f t="shared" si="61"/>
        <v>135.9555555555361</v>
      </c>
      <c r="I187" s="1051">
        <f t="shared" si="61"/>
        <v>144.13333333339168</v>
      </c>
      <c r="J187" s="1051">
        <f t="shared" si="61"/>
        <v>149.2444444444639</v>
      </c>
      <c r="K187" s="1052">
        <f t="shared" si="61"/>
        <v>125.73333333339167</v>
      </c>
      <c r="L187" s="1052">
        <f t="shared" si="61"/>
        <v>133.91111111107222</v>
      </c>
      <c r="M187" s="1052">
        <f t="shared" si="61"/>
        <v>139.02222222215343</v>
      </c>
      <c r="N187" s="1053">
        <f t="shared" si="61"/>
        <v>92.0</v>
      </c>
      <c r="O187" s="1053">
        <f t="shared" si="61"/>
        <v>100.17777777785557</v>
      </c>
      <c r="P187" s="1053">
        <f t="shared" si="61"/>
        <v>105.28888888892777</v>
      </c>
      <c r="Q187" s="1054">
        <f t="shared" si="61"/>
        <v>86.88888888892237</v>
      </c>
      <c r="R187" s="1054">
        <f t="shared" si="62"/>
        <v>95.06666666661103</v>
      </c>
      <c r="S187" s="1054">
        <f t="shared" si="62"/>
        <v>100.17777777785557</v>
      </c>
      <c r="T187" s="1055">
        <f t="shared" si="62"/>
        <v>81.77777777783956</v>
      </c>
      <c r="U187" s="1055">
        <f t="shared" si="59"/>
        <v>89.95555555553811</v>
      </c>
      <c r="V187" s="1055">
        <f t="shared" si="59"/>
        <v>95.06666666661103</v>
      </c>
      <c r="W187" s="1056">
        <f t="shared" si="59"/>
        <v>76.66666666662513</v>
      </c>
      <c r="X187" s="1056">
        <f t="shared" si="59"/>
        <v>84.84444444446069</v>
      </c>
      <c r="Y187" s="1056">
        <f t="shared" si="59"/>
        <v>89.95555555553811</v>
      </c>
      <c r="Z187" s="1057">
        <f t="shared" si="59"/>
        <v>71.55555555554342</v>
      </c>
      <c r="AA187" s="1057">
        <f t="shared" si="58"/>
        <v>79.73333333337786</v>
      </c>
      <c r="AB187" s="1057">
        <f t="shared" si="58"/>
        <v>84.84444444446069</v>
      </c>
      <c r="AC187" s="1058">
        <f t="shared" si="58"/>
        <v>66.44444444445469</v>
      </c>
      <c r="AD187" s="1058">
        <f t="shared" si="58"/>
        <v>74.62222222217355</v>
      </c>
      <c r="AE187" s="1058">
        <f t="shared" si="58"/>
        <v>79.73333333337786</v>
      </c>
      <c r="AF187" s="1059">
        <f t="shared" si="60"/>
        <v>61.33333333335717</v>
      </c>
      <c r="AG187" s="1059">
        <f t="shared" si="60"/>
        <v>69.51111111108823</v>
      </c>
      <c r="AH187" s="1059">
        <f t="shared" si="60"/>
        <v>74.62222222217355</v>
      </c>
      <c r="AI187" s="1060">
        <f t="shared" si="60"/>
        <v>56.222222222207144</v>
      </c>
      <c r="AJ187" s="1060">
        <f t="shared" si="60"/>
        <v>64.4</v>
      </c>
      <c r="AK187" s="1060">
        <f t="shared" si="60"/>
        <v>69.51111111108823</v>
      </c>
    </row>
    <row r="188" spans="8:8" ht="15.75" customHeight="1">
      <c r="D188" s="1049">
        <f t="shared" si="44"/>
        <v>0.5138888888889228</v>
      </c>
      <c r="E188" s="1050">
        <f t="shared" si="41"/>
        <v>146.97222222223192</v>
      </c>
      <c r="F188" s="1050">
        <f t="shared" si="42"/>
        <v>155.1944444444547</v>
      </c>
      <c r="G188" s="1050">
        <f t="shared" si="42"/>
        <v>160.33333333334392</v>
      </c>
      <c r="H188" s="1051">
        <f t="shared" si="61"/>
        <v>136.69444444442513</v>
      </c>
      <c r="I188" s="1051">
        <f t="shared" si="61"/>
        <v>144.91666666672467</v>
      </c>
      <c r="J188" s="1051">
        <f t="shared" si="61"/>
        <v>150.0555555555749</v>
      </c>
      <c r="K188" s="1052">
        <f t="shared" si="61"/>
        <v>126.41666666672467</v>
      </c>
      <c r="L188" s="1052">
        <f t="shared" si="61"/>
        <v>134.6388888888502</v>
      </c>
      <c r="M188" s="1052">
        <f t="shared" si="61"/>
        <v>139.77777777770945</v>
      </c>
      <c r="N188" s="1053">
        <f t="shared" si="61"/>
        <v>92.5</v>
      </c>
      <c r="O188" s="1053">
        <f t="shared" si="61"/>
        <v>100.72222222229956</v>
      </c>
      <c r="P188" s="1053">
        <f t="shared" si="61"/>
        <v>105.86111111114978</v>
      </c>
      <c r="Q188" s="1054">
        <f t="shared" si="61"/>
        <v>87.36111111114457</v>
      </c>
      <c r="R188" s="1054">
        <f t="shared" si="62"/>
        <v>95.58333333327774</v>
      </c>
      <c r="S188" s="1054">
        <f t="shared" si="62"/>
        <v>100.72222222229956</v>
      </c>
      <c r="T188" s="1055">
        <f t="shared" si="62"/>
        <v>82.22222222228396</v>
      </c>
      <c r="U188" s="1055">
        <f t="shared" si="59"/>
        <v>90.444444444427</v>
      </c>
      <c r="V188" s="1055">
        <f t="shared" si="59"/>
        <v>95.58333333327774</v>
      </c>
      <c r="W188" s="1056">
        <f t="shared" si="59"/>
        <v>77.08333333329183</v>
      </c>
      <c r="X188" s="1056">
        <f t="shared" si="59"/>
        <v>85.30555555557179</v>
      </c>
      <c r="Y188" s="1056">
        <f t="shared" si="59"/>
        <v>90.444444444427</v>
      </c>
      <c r="Z188" s="1057">
        <f t="shared" si="59"/>
        <v>71.94444444443232</v>
      </c>
      <c r="AA188" s="1057">
        <f t="shared" si="58"/>
        <v>80.16666666671117</v>
      </c>
      <c r="AB188" s="1057">
        <f t="shared" si="58"/>
        <v>85.30555555557179</v>
      </c>
      <c r="AC188" s="1058">
        <f t="shared" si="58"/>
        <v>66.80555555556579</v>
      </c>
      <c r="AD188" s="1058">
        <f t="shared" si="58"/>
        <v>75.02777777772914</v>
      </c>
      <c r="AE188" s="1058">
        <f t="shared" si="58"/>
        <v>80.16666666671117</v>
      </c>
      <c r="AF188" s="1059">
        <f t="shared" si="60"/>
        <v>61.66666666669047</v>
      </c>
      <c r="AG188" s="1059">
        <f t="shared" si="60"/>
        <v>69.88888888886602</v>
      </c>
      <c r="AH188" s="1059">
        <f t="shared" si="60"/>
        <v>75.02777777772914</v>
      </c>
      <c r="AI188" s="1060">
        <f t="shared" si="60"/>
        <v>56.52777777776274</v>
      </c>
      <c r="AJ188" s="1060">
        <f t="shared" si="60"/>
        <v>64.75</v>
      </c>
      <c r="AK188" s="1060">
        <f t="shared" si="60"/>
        <v>69.88888888886602</v>
      </c>
    </row>
    <row r="189" spans="8:8" ht="15.75" customHeight="1">
      <c r="D189" s="1049">
        <f t="shared" si="44"/>
        <v>0.5166666666667008</v>
      </c>
      <c r="E189" s="1050">
        <f t="shared" si="41"/>
        <v>147.76666666667643</v>
      </c>
      <c r="F189" s="1050">
        <f t="shared" si="42"/>
        <v>156.03333333334365</v>
      </c>
      <c r="G189" s="1050">
        <f t="shared" si="42"/>
        <v>161.20000000001065</v>
      </c>
      <c r="H189" s="1051">
        <f t="shared" si="61"/>
        <v>137.43333333331412</v>
      </c>
      <c r="I189" s="1051">
        <f t="shared" si="61"/>
        <v>145.70000000005766</v>
      </c>
      <c r="J189" s="1051">
        <f t="shared" si="61"/>
        <v>150.8666666666859</v>
      </c>
      <c r="K189" s="1052">
        <f t="shared" si="61"/>
        <v>127.10000000005766</v>
      </c>
      <c r="L189" s="1052">
        <f t="shared" si="61"/>
        <v>135.36666666662822</v>
      </c>
      <c r="M189" s="1052">
        <f t="shared" si="61"/>
        <v>140.53333333326543</v>
      </c>
      <c r="N189" s="1053">
        <f t="shared" si="61"/>
        <v>93.0</v>
      </c>
      <c r="O189" s="1053">
        <f t="shared" si="61"/>
        <v>101.26666666674356</v>
      </c>
      <c r="P189" s="1053">
        <f t="shared" si="61"/>
        <v>106.43333333337178</v>
      </c>
      <c r="Q189" s="1054">
        <f t="shared" si="61"/>
        <v>87.83333333336677</v>
      </c>
      <c r="R189" s="1054">
        <f t="shared" si="62"/>
        <v>96.09999999994443</v>
      </c>
      <c r="S189" s="1054">
        <f t="shared" si="62"/>
        <v>101.26666666674356</v>
      </c>
      <c r="T189" s="1055">
        <f t="shared" si="62"/>
        <v>82.66666666672836</v>
      </c>
      <c r="U189" s="1055">
        <f t="shared" si="59"/>
        <v>90.9333333333159</v>
      </c>
      <c r="V189" s="1055">
        <f t="shared" si="59"/>
        <v>96.09999999994443</v>
      </c>
      <c r="W189" s="1056">
        <f t="shared" si="59"/>
        <v>77.49999999995853</v>
      </c>
      <c r="X189" s="1056">
        <f t="shared" si="59"/>
        <v>85.7666666666829</v>
      </c>
      <c r="Y189" s="1056">
        <f t="shared" si="59"/>
        <v>90.9333333333159</v>
      </c>
      <c r="Z189" s="1057">
        <f t="shared" si="59"/>
        <v>72.33333333332122</v>
      </c>
      <c r="AA189" s="1057">
        <f t="shared" si="58"/>
        <v>80.60000000004446</v>
      </c>
      <c r="AB189" s="1057">
        <f t="shared" si="58"/>
        <v>85.7666666666829</v>
      </c>
      <c r="AC189" s="1058">
        <f t="shared" si="58"/>
        <v>67.16666666667689</v>
      </c>
      <c r="AD189" s="1058">
        <f t="shared" si="58"/>
        <v>75.43333333328465</v>
      </c>
      <c r="AE189" s="1058">
        <f t="shared" si="58"/>
        <v>80.60000000004446</v>
      </c>
      <c r="AF189" s="1059">
        <f t="shared" si="60"/>
        <v>62.00000000002377</v>
      </c>
      <c r="AG189" s="1059">
        <f t="shared" si="60"/>
        <v>70.26666666664381</v>
      </c>
      <c r="AH189" s="1059">
        <f t="shared" si="60"/>
        <v>75.43333333328465</v>
      </c>
      <c r="AI189" s="1060">
        <f t="shared" si="60"/>
        <v>56.83333333331834</v>
      </c>
      <c r="AJ189" s="1060">
        <f t="shared" si="60"/>
        <v>65.10000000000001</v>
      </c>
      <c r="AK189" s="1060">
        <f t="shared" si="60"/>
        <v>70.26666666664381</v>
      </c>
    </row>
    <row r="190" spans="8:8" ht="15.75" customHeight="1">
      <c r="D190" s="1049">
        <f t="shared" si="44"/>
        <v>0.5194444444444788</v>
      </c>
      <c r="E190" s="1050">
        <f t="shared" si="41"/>
        <v>148.56111111112094</v>
      </c>
      <c r="F190" s="1050">
        <f t="shared" si="42"/>
        <v>156.8722222222326</v>
      </c>
      <c r="G190" s="1050">
        <f t="shared" si="42"/>
        <v>162.06666666667738</v>
      </c>
      <c r="H190" s="1051">
        <f t="shared" si="61"/>
        <v>138.17222222220312</v>
      </c>
      <c r="I190" s="1051">
        <f t="shared" si="61"/>
        <v>146.48333333339068</v>
      </c>
      <c r="J190" s="1051">
        <f t="shared" si="61"/>
        <v>151.6777777777969</v>
      </c>
      <c r="K190" s="1052">
        <f t="shared" si="61"/>
        <v>127.78333333339066</v>
      </c>
      <c r="L190" s="1052">
        <f t="shared" si="61"/>
        <v>136.0944444444062</v>
      </c>
      <c r="M190" s="1052">
        <f t="shared" si="61"/>
        <v>141.28888888882145</v>
      </c>
      <c r="N190" s="1053">
        <f t="shared" si="61"/>
        <v>93.5</v>
      </c>
      <c r="O190" s="1053">
        <f t="shared" si="61"/>
        <v>101.81111111118756</v>
      </c>
      <c r="P190" s="1053">
        <f t="shared" si="61"/>
        <v>107.00555555559377</v>
      </c>
      <c r="Q190" s="1054">
        <f t="shared" si="61"/>
        <v>88.30555555558897</v>
      </c>
      <c r="R190" s="1054">
        <f t="shared" si="62"/>
        <v>96.61666666661114</v>
      </c>
      <c r="S190" s="1054">
        <f t="shared" si="62"/>
        <v>101.81111111118756</v>
      </c>
      <c r="T190" s="1055">
        <f t="shared" si="62"/>
        <v>83.11111111117276</v>
      </c>
      <c r="U190" s="1055">
        <f t="shared" si="59"/>
        <v>91.42222222220481</v>
      </c>
      <c r="V190" s="1055">
        <f t="shared" si="59"/>
        <v>96.61666666661114</v>
      </c>
      <c r="W190" s="1056">
        <f t="shared" si="59"/>
        <v>77.91666666662523</v>
      </c>
      <c r="X190" s="1056">
        <f t="shared" si="59"/>
        <v>86.22777777779399</v>
      </c>
      <c r="Y190" s="1056">
        <f t="shared" si="59"/>
        <v>91.42222222220481</v>
      </c>
      <c r="Z190" s="1057">
        <f t="shared" si="59"/>
        <v>72.72222222221012</v>
      </c>
      <c r="AA190" s="1057">
        <f t="shared" si="58"/>
        <v>81.03333333337777</v>
      </c>
      <c r="AB190" s="1057">
        <f t="shared" si="58"/>
        <v>86.22777777779399</v>
      </c>
      <c r="AC190" s="1058">
        <f t="shared" si="58"/>
        <v>67.52777777778799</v>
      </c>
      <c r="AD190" s="1058">
        <f t="shared" si="58"/>
        <v>75.83888888884024</v>
      </c>
      <c r="AE190" s="1058">
        <f t="shared" si="58"/>
        <v>81.03333333337777</v>
      </c>
      <c r="AF190" s="1059">
        <f t="shared" si="60"/>
        <v>62.33333333335707</v>
      </c>
      <c r="AG190" s="1059">
        <f t="shared" si="60"/>
        <v>70.64444444442162</v>
      </c>
      <c r="AH190" s="1059">
        <f t="shared" si="60"/>
        <v>75.83888888884024</v>
      </c>
      <c r="AI190" s="1060">
        <f t="shared" si="60"/>
        <v>57.13888888887394</v>
      </c>
      <c r="AJ190" s="1060">
        <f t="shared" si="60"/>
        <v>65.45</v>
      </c>
      <c r="AK190" s="1060">
        <f t="shared" si="60"/>
        <v>70.64444444442162</v>
      </c>
    </row>
    <row r="191" spans="8:8" ht="15.75" customHeight="1">
      <c r="D191" s="1049">
        <f t="shared" si="44"/>
        <v>0.5222222222222568</v>
      </c>
      <c r="E191" s="1050">
        <f t="shared" si="41"/>
        <v>149.35555555556545</v>
      </c>
      <c r="F191" s="1050">
        <f t="shared" si="42"/>
        <v>157.71111111112154</v>
      </c>
      <c r="G191" s="1050">
        <f t="shared" si="42"/>
        <v>162.9333333333441</v>
      </c>
      <c r="H191" s="1051">
        <f t="shared" si="61"/>
        <v>138.9111111110921</v>
      </c>
      <c r="I191" s="1051">
        <f t="shared" si="61"/>
        <v>147.26666666672367</v>
      </c>
      <c r="J191" s="1051">
        <f t="shared" si="61"/>
        <v>152.4888888889079</v>
      </c>
      <c r="K191" s="1052">
        <f t="shared" si="61"/>
        <v>128.46666666672365</v>
      </c>
      <c r="L191" s="1052">
        <f t="shared" si="61"/>
        <v>136.82222222218422</v>
      </c>
      <c r="M191" s="1052">
        <f t="shared" si="61"/>
        <v>142.04444444437743</v>
      </c>
      <c r="N191" s="1053">
        <f t="shared" si="61"/>
        <v>94.0</v>
      </c>
      <c r="O191" s="1053">
        <f t="shared" si="61"/>
        <v>102.35555555563157</v>
      </c>
      <c r="P191" s="1053">
        <f t="shared" si="61"/>
        <v>107.57777777781578</v>
      </c>
      <c r="Q191" s="1054">
        <f t="shared" si="61"/>
        <v>88.77777777781117</v>
      </c>
      <c r="R191" s="1054">
        <f t="shared" si="62"/>
        <v>97.13333333327783</v>
      </c>
      <c r="S191" s="1054">
        <f t="shared" si="62"/>
        <v>102.35555555563157</v>
      </c>
      <c r="T191" s="1055">
        <f t="shared" si="62"/>
        <v>83.55555555561716</v>
      </c>
      <c r="U191" s="1055">
        <f t="shared" si="59"/>
        <v>91.9111111110937</v>
      </c>
      <c r="V191" s="1055">
        <f t="shared" si="59"/>
        <v>97.13333333327783</v>
      </c>
      <c r="W191" s="1056">
        <f t="shared" si="59"/>
        <v>78.33333333329193</v>
      </c>
      <c r="X191" s="1056">
        <f t="shared" si="59"/>
        <v>86.6888888889051</v>
      </c>
      <c r="Y191" s="1056">
        <f t="shared" si="59"/>
        <v>91.9111111110937</v>
      </c>
      <c r="Z191" s="1057">
        <f t="shared" si="59"/>
        <v>73.11111111109902</v>
      </c>
      <c r="AA191" s="1057">
        <f t="shared" si="58"/>
        <v>81.46666666671106</v>
      </c>
      <c r="AB191" s="1057">
        <f t="shared" si="58"/>
        <v>86.6888888889051</v>
      </c>
      <c r="AC191" s="1058">
        <f t="shared" si="58"/>
        <v>67.88888888889909</v>
      </c>
      <c r="AD191" s="1058">
        <f t="shared" si="58"/>
        <v>76.24444444439575</v>
      </c>
      <c r="AE191" s="1058">
        <f t="shared" si="58"/>
        <v>81.46666666671106</v>
      </c>
      <c r="AF191" s="1059">
        <f t="shared" si="60"/>
        <v>62.66666666669036</v>
      </c>
      <c r="AG191" s="1059">
        <f t="shared" si="60"/>
        <v>71.02222222219942</v>
      </c>
      <c r="AH191" s="1059">
        <f t="shared" si="60"/>
        <v>76.24444444439575</v>
      </c>
      <c r="AI191" s="1060">
        <f t="shared" si="60"/>
        <v>57.44444444442954</v>
      </c>
      <c r="AJ191" s="1060">
        <f t="shared" si="60"/>
        <v>65.80000000000001</v>
      </c>
      <c r="AK191" s="1060">
        <f t="shared" si="60"/>
        <v>71.02222222219942</v>
      </c>
    </row>
    <row r="192" spans="8:8" ht="15.75" customHeight="1">
      <c r="D192" s="1049">
        <f t="shared" si="44"/>
        <v>0.5250000000000348</v>
      </c>
      <c r="E192" s="1050">
        <f t="shared" si="41"/>
        <v>150.15000000000995</v>
      </c>
      <c r="F192" s="1050">
        <f t="shared" si="42"/>
        <v>158.5500000000105</v>
      </c>
      <c r="G192" s="1050">
        <f t="shared" si="42"/>
        <v>163.80000000001084</v>
      </c>
      <c r="H192" s="1051">
        <f t="shared" si="61"/>
        <v>139.64999999998113</v>
      </c>
      <c r="I192" s="1051">
        <f t="shared" si="61"/>
        <v>148.05000000005666</v>
      </c>
      <c r="J192" s="1051">
        <f t="shared" si="61"/>
        <v>153.30000000001888</v>
      </c>
      <c r="K192" s="1052">
        <f t="shared" si="61"/>
        <v>129.15000000005665</v>
      </c>
      <c r="L192" s="1052">
        <f t="shared" si="61"/>
        <v>137.5499999999622</v>
      </c>
      <c r="M192" s="1052">
        <f t="shared" si="61"/>
        <v>142.79999999993345</v>
      </c>
      <c r="N192" s="1053">
        <f t="shared" si="61"/>
        <v>94.5</v>
      </c>
      <c r="O192" s="1053">
        <f t="shared" si="61"/>
        <v>102.90000000007556</v>
      </c>
      <c r="P192" s="1053">
        <f t="shared" si="61"/>
        <v>108.15000000003778</v>
      </c>
      <c r="Q192" s="1054">
        <f t="shared" si="61"/>
        <v>89.25000000003337</v>
      </c>
      <c r="R192" s="1054">
        <f t="shared" si="62"/>
        <v>97.64999999994454</v>
      </c>
      <c r="S192" s="1054">
        <f t="shared" si="62"/>
        <v>102.90000000007556</v>
      </c>
      <c r="T192" s="1055">
        <f t="shared" si="62"/>
        <v>84.00000000006156</v>
      </c>
      <c r="U192" s="1055">
        <f t="shared" si="59"/>
        <v>92.39999999998261</v>
      </c>
      <c r="V192" s="1055">
        <f t="shared" si="59"/>
        <v>97.64999999994454</v>
      </c>
      <c r="W192" s="1056">
        <f t="shared" si="59"/>
        <v>78.74999999995863</v>
      </c>
      <c r="X192" s="1056">
        <f t="shared" si="59"/>
        <v>87.15000000001619</v>
      </c>
      <c r="Y192" s="1056">
        <f t="shared" si="59"/>
        <v>92.39999999998261</v>
      </c>
      <c r="Z192" s="1057">
        <f t="shared" si="59"/>
        <v>73.49999999998792</v>
      </c>
      <c r="AA192" s="1057">
        <f t="shared" si="58"/>
        <v>81.90000000004436</v>
      </c>
      <c r="AB192" s="1057">
        <f t="shared" si="58"/>
        <v>87.15000000001619</v>
      </c>
      <c r="AC192" s="1058">
        <f t="shared" si="58"/>
        <v>68.25000000001019</v>
      </c>
      <c r="AD192" s="1058">
        <f t="shared" si="58"/>
        <v>76.64999999995125</v>
      </c>
      <c r="AE192" s="1058">
        <f t="shared" si="58"/>
        <v>81.90000000004436</v>
      </c>
      <c r="AF192" s="1059">
        <f t="shared" si="60"/>
        <v>63.00000000002366</v>
      </c>
      <c r="AG192" s="1059">
        <f t="shared" si="60"/>
        <v>71.39999999997723</v>
      </c>
      <c r="AH192" s="1059">
        <f t="shared" si="60"/>
        <v>76.64999999995125</v>
      </c>
      <c r="AI192" s="1060">
        <f t="shared" si="60"/>
        <v>57.74999999998514</v>
      </c>
      <c r="AJ192" s="1060">
        <f t="shared" si="60"/>
        <v>66.15</v>
      </c>
      <c r="AK192" s="1060">
        <f t="shared" si="60"/>
        <v>71.39999999997723</v>
      </c>
    </row>
    <row r="193" spans="8:8" ht="15.75" customHeight="1">
      <c r="D193" s="1049">
        <f t="shared" si="44"/>
        <v>0.5277777777778128</v>
      </c>
      <c r="E193" s="1050">
        <f t="shared" si="41"/>
        <v>150.94444444445446</v>
      </c>
      <c r="F193" s="1050">
        <f t="shared" si="42"/>
        <v>159.38888888889946</v>
      </c>
      <c r="G193" s="1050">
        <f t="shared" si="42"/>
        <v>164.66666666667757</v>
      </c>
      <c r="H193" s="1051">
        <f t="shared" si="61"/>
        <v>140.38888888887013</v>
      </c>
      <c r="I193" s="1051">
        <f t="shared" si="61"/>
        <v>148.83333333338967</v>
      </c>
      <c r="J193" s="1051">
        <f t="shared" si="61"/>
        <v>154.1111111111299</v>
      </c>
      <c r="K193" s="1052">
        <f t="shared" si="61"/>
        <v>129.83333333338967</v>
      </c>
      <c r="L193" s="1052">
        <f t="shared" si="61"/>
        <v>138.2777777777402</v>
      </c>
      <c r="M193" s="1052">
        <f t="shared" si="61"/>
        <v>143.55555555548943</v>
      </c>
      <c r="N193" s="1053">
        <f t="shared" si="61"/>
        <v>95.0</v>
      </c>
      <c r="O193" s="1053">
        <f t="shared" si="61"/>
        <v>103.44444444451956</v>
      </c>
      <c r="P193" s="1053">
        <f t="shared" si="61"/>
        <v>108.72222222225977</v>
      </c>
      <c r="Q193" s="1054">
        <f t="shared" si="61"/>
        <v>89.72222222225557</v>
      </c>
      <c r="R193" s="1054">
        <f t="shared" si="62"/>
        <v>98.16666666661123</v>
      </c>
      <c r="S193" s="1054">
        <f t="shared" si="62"/>
        <v>103.44444444451956</v>
      </c>
      <c r="T193" s="1055">
        <f t="shared" si="62"/>
        <v>84.44444444450596</v>
      </c>
      <c r="U193" s="1055">
        <f t="shared" si="59"/>
        <v>92.8888888888715</v>
      </c>
      <c r="V193" s="1055">
        <f t="shared" si="59"/>
        <v>98.16666666661123</v>
      </c>
      <c r="W193" s="1056">
        <f t="shared" si="59"/>
        <v>79.16666666662533</v>
      </c>
      <c r="X193" s="1056">
        <f t="shared" si="59"/>
        <v>87.61111111112729</v>
      </c>
      <c r="Y193" s="1056">
        <f t="shared" si="59"/>
        <v>92.8888888888715</v>
      </c>
      <c r="Z193" s="1057">
        <f t="shared" si="59"/>
        <v>73.88888888887682</v>
      </c>
      <c r="AA193" s="1057">
        <f t="shared" si="58"/>
        <v>82.33333333337767</v>
      </c>
      <c r="AB193" s="1057">
        <f t="shared" si="58"/>
        <v>87.61111111112729</v>
      </c>
      <c r="AC193" s="1058">
        <f t="shared" si="58"/>
        <v>68.61111111112129</v>
      </c>
      <c r="AD193" s="1058">
        <f t="shared" si="58"/>
        <v>77.05555555550684</v>
      </c>
      <c r="AE193" s="1058">
        <f t="shared" si="58"/>
        <v>82.33333333337767</v>
      </c>
      <c r="AF193" s="1059">
        <f t="shared" si="60"/>
        <v>63.33333333335696</v>
      </c>
      <c r="AG193" s="1059">
        <f t="shared" si="60"/>
        <v>71.77777777775502</v>
      </c>
      <c r="AH193" s="1059">
        <f t="shared" si="60"/>
        <v>77.05555555550684</v>
      </c>
      <c r="AI193" s="1060">
        <f t="shared" si="60"/>
        <v>58.05555555554074</v>
      </c>
      <c r="AJ193" s="1060">
        <f t="shared" si="60"/>
        <v>66.5</v>
      </c>
      <c r="AK193" s="1060">
        <f t="shared" si="60"/>
        <v>71.77777777775502</v>
      </c>
    </row>
    <row r="194" spans="8:8" ht="15.75" customHeight="1">
      <c r="D194" s="1049">
        <f t="shared" si="44"/>
        <v>0.5305555555555908</v>
      </c>
      <c r="E194" s="1050">
        <f t="shared" si="41"/>
        <v>151.73888888889894</v>
      </c>
      <c r="F194" s="1050">
        <f t="shared" si="42"/>
        <v>160.22777777778842</v>
      </c>
      <c r="G194" s="1050">
        <f t="shared" si="42"/>
        <v>165.5333333333443</v>
      </c>
      <c r="H194" s="1051">
        <f t="shared" si="61"/>
        <v>141.12777777775912</v>
      </c>
      <c r="I194" s="1051">
        <f t="shared" si="61"/>
        <v>149.61666666672267</v>
      </c>
      <c r="J194" s="1051">
        <f t="shared" si="61"/>
        <v>154.9222222222409</v>
      </c>
      <c r="K194" s="1052">
        <f t="shared" si="61"/>
        <v>130.51666666672267</v>
      </c>
      <c r="L194" s="1052">
        <f t="shared" si="61"/>
        <v>139.0055555555182</v>
      </c>
      <c r="M194" s="1052">
        <f t="shared" si="61"/>
        <v>144.31111111104545</v>
      </c>
      <c r="N194" s="1053">
        <f t="shared" si="61"/>
        <v>95.5</v>
      </c>
      <c r="O194" s="1053">
        <f t="shared" si="61"/>
        <v>103.98888888896356</v>
      </c>
      <c r="P194" s="1053">
        <f t="shared" si="63" ref="H194:Q214">P195-(P$363/360)</f>
        <v>109.29444444448178</v>
      </c>
      <c r="Q194" s="1054">
        <f t="shared" si="63"/>
        <v>90.19444444447777</v>
      </c>
      <c r="R194" s="1054">
        <f t="shared" si="62"/>
        <v>98.68333333327793</v>
      </c>
      <c r="S194" s="1054">
        <f t="shared" si="62"/>
        <v>103.98888888896356</v>
      </c>
      <c r="T194" s="1055">
        <f t="shared" si="62"/>
        <v>84.88888888895036</v>
      </c>
      <c r="U194" s="1055">
        <f t="shared" si="59"/>
        <v>93.3777777777604</v>
      </c>
      <c r="V194" s="1055">
        <f t="shared" si="59"/>
        <v>98.68333333327793</v>
      </c>
      <c r="W194" s="1056">
        <f t="shared" si="59"/>
        <v>79.58333333329203</v>
      </c>
      <c r="X194" s="1056">
        <f t="shared" si="59"/>
        <v>88.0722222222384</v>
      </c>
      <c r="Y194" s="1056">
        <f t="shared" si="59"/>
        <v>93.3777777777604</v>
      </c>
      <c r="Z194" s="1057">
        <f t="shared" si="59"/>
        <v>74.27777777776572</v>
      </c>
      <c r="AA194" s="1057">
        <f t="shared" si="58"/>
        <v>82.76666666671096</v>
      </c>
      <c r="AB194" s="1057">
        <f t="shared" si="58"/>
        <v>88.0722222222384</v>
      </c>
      <c r="AC194" s="1058">
        <f t="shared" si="58"/>
        <v>68.97222222223239</v>
      </c>
      <c r="AD194" s="1058">
        <f t="shared" si="58"/>
        <v>77.46111111106235</v>
      </c>
      <c r="AE194" s="1058">
        <f t="shared" si="58"/>
        <v>82.76666666671096</v>
      </c>
      <c r="AF194" s="1059">
        <f t="shared" si="60"/>
        <v>63.66666666669027</v>
      </c>
      <c r="AG194" s="1059">
        <f t="shared" si="60"/>
        <v>72.15555555553281</v>
      </c>
      <c r="AH194" s="1059">
        <f t="shared" si="60"/>
        <v>77.46111111106235</v>
      </c>
      <c r="AI194" s="1060">
        <f t="shared" si="60"/>
        <v>58.36111111109634</v>
      </c>
      <c r="AJ194" s="1060">
        <f t="shared" si="60"/>
        <v>66.85000000000001</v>
      </c>
      <c r="AK194" s="1060">
        <f t="shared" si="60"/>
        <v>72.15555555553281</v>
      </c>
    </row>
    <row r="195" spans="8:8" ht="15.75" customHeight="1">
      <c r="D195" s="1049">
        <f t="shared" si="44"/>
        <v>0.5333333333333687</v>
      </c>
      <c r="E195" s="1050">
        <f t="shared" si="64" ref="E195:E258">E$363*D195</f>
        <v>152.53333333334345</v>
      </c>
      <c r="F195" s="1050">
        <f t="shared" si="65" ref="F195:G226">F$363*$D195</f>
        <v>161.06666666667735</v>
      </c>
      <c r="G195" s="1050">
        <f t="shared" si="65"/>
        <v>166.40000000001106</v>
      </c>
      <c r="H195" s="1051">
        <f t="shared" si="63"/>
        <v>141.86666666664811</v>
      </c>
      <c r="I195" s="1051">
        <f t="shared" si="63"/>
        <v>150.40000000005566</v>
      </c>
      <c r="J195" s="1051">
        <f t="shared" si="63"/>
        <v>155.7333333333519</v>
      </c>
      <c r="K195" s="1052">
        <f t="shared" si="63"/>
        <v>131.20000000005567</v>
      </c>
      <c r="L195" s="1052">
        <f t="shared" si="63"/>
        <v>139.7333333332962</v>
      </c>
      <c r="M195" s="1052">
        <f t="shared" si="63"/>
        <v>145.06666666660144</v>
      </c>
      <c r="N195" s="1053">
        <f t="shared" si="63"/>
        <v>96.0</v>
      </c>
      <c r="O195" s="1053">
        <f t="shared" si="63"/>
        <v>104.53333333340757</v>
      </c>
      <c r="P195" s="1053">
        <f t="shared" si="63"/>
        <v>109.86666666670378</v>
      </c>
      <c r="Q195" s="1054">
        <f t="shared" si="63"/>
        <v>90.66666666669997</v>
      </c>
      <c r="R195" s="1054">
        <f t="shared" si="62"/>
        <v>99.19999999994464</v>
      </c>
      <c r="S195" s="1054">
        <f t="shared" si="62"/>
        <v>104.53333333340757</v>
      </c>
      <c r="T195" s="1055">
        <f t="shared" si="62"/>
        <v>85.33333333339476</v>
      </c>
      <c r="U195" s="1055">
        <f t="shared" si="59"/>
        <v>93.86666666664931</v>
      </c>
      <c r="V195" s="1055">
        <f t="shared" si="59"/>
        <v>99.19999999994464</v>
      </c>
      <c r="W195" s="1056">
        <f t="shared" si="59"/>
        <v>79.99999999995873</v>
      </c>
      <c r="X195" s="1056">
        <f t="shared" si="59"/>
        <v>88.53333333334949</v>
      </c>
      <c r="Y195" s="1056">
        <f t="shared" si="59"/>
        <v>93.86666666664931</v>
      </c>
      <c r="Z195" s="1057">
        <f t="shared" si="59"/>
        <v>74.66666666665462</v>
      </c>
      <c r="AA195" s="1057">
        <f t="shared" si="58"/>
        <v>83.20000000004427</v>
      </c>
      <c r="AB195" s="1057">
        <f t="shared" si="58"/>
        <v>88.53333333334949</v>
      </c>
      <c r="AC195" s="1058">
        <f t="shared" si="58"/>
        <v>69.33333333334349</v>
      </c>
      <c r="AD195" s="1058">
        <f t="shared" si="58"/>
        <v>77.86666666661785</v>
      </c>
      <c r="AE195" s="1058">
        <f t="shared" si="58"/>
        <v>83.20000000004427</v>
      </c>
      <c r="AF195" s="1059">
        <f t="shared" si="60"/>
        <v>64.00000000002358</v>
      </c>
      <c r="AG195" s="1059">
        <f t="shared" si="60"/>
        <v>72.53333333331062</v>
      </c>
      <c r="AH195" s="1059">
        <f t="shared" si="60"/>
        <v>77.86666666661785</v>
      </c>
      <c r="AI195" s="1060">
        <f t="shared" si="60"/>
        <v>58.66666666665194</v>
      </c>
      <c r="AJ195" s="1060">
        <f t="shared" si="60"/>
        <v>67.2</v>
      </c>
      <c r="AK195" s="1060">
        <f t="shared" si="60"/>
        <v>72.53333333331062</v>
      </c>
    </row>
    <row r="196" spans="8:8" ht="15.75" customHeight="1">
      <c r="D196" s="1049">
        <f t="shared" si="44"/>
        <v>0.5361111111111467</v>
      </c>
      <c r="E196" s="1050">
        <f t="shared" si="64"/>
        <v>153.32777777778796</v>
      </c>
      <c r="F196" s="1050">
        <f t="shared" si="65"/>
        <v>161.9055555555663</v>
      </c>
      <c r="G196" s="1050">
        <f t="shared" si="65"/>
        <v>167.2666666666778</v>
      </c>
      <c r="H196" s="1051">
        <f t="shared" si="63"/>
        <v>142.6055555555371</v>
      </c>
      <c r="I196" s="1051">
        <f t="shared" si="63"/>
        <v>151.18333333338867</v>
      </c>
      <c r="J196" s="1051">
        <f t="shared" si="63"/>
        <v>156.5444444444629</v>
      </c>
      <c r="K196" s="1052">
        <f t="shared" si="63"/>
        <v>131.88333333338866</v>
      </c>
      <c r="L196" s="1052">
        <f t="shared" si="63"/>
        <v>140.46111111107422</v>
      </c>
      <c r="M196" s="1052">
        <f t="shared" si="63"/>
        <v>145.82222222215745</v>
      </c>
      <c r="N196" s="1053">
        <f t="shared" si="63"/>
        <v>96.5</v>
      </c>
      <c r="O196" s="1053">
        <f t="shared" si="63"/>
        <v>105.07777777785157</v>
      </c>
      <c r="P196" s="1053">
        <f t="shared" si="63"/>
        <v>110.43888888892577</v>
      </c>
      <c r="Q196" s="1054">
        <f t="shared" si="63"/>
        <v>91.13888888892217</v>
      </c>
      <c r="R196" s="1054">
        <f t="shared" si="62"/>
        <v>99.71666666661133</v>
      </c>
      <c r="S196" s="1054">
        <f t="shared" si="62"/>
        <v>105.07777777785157</v>
      </c>
      <c r="T196" s="1055">
        <f t="shared" si="62"/>
        <v>85.77777777783916</v>
      </c>
      <c r="U196" s="1055">
        <f t="shared" si="59"/>
        <v>94.3555555555382</v>
      </c>
      <c r="V196" s="1055">
        <f t="shared" si="59"/>
        <v>99.71666666661133</v>
      </c>
      <c r="W196" s="1056">
        <f t="shared" si="59"/>
        <v>80.41666666662543</v>
      </c>
      <c r="X196" s="1056">
        <f t="shared" si="59"/>
        <v>88.9944444444606</v>
      </c>
      <c r="Y196" s="1056">
        <f t="shared" si="59"/>
        <v>94.3555555555382</v>
      </c>
      <c r="Z196" s="1057">
        <f t="shared" si="59"/>
        <v>75.05555555554352</v>
      </c>
      <c r="AA196" s="1057">
        <f t="shared" si="58"/>
        <v>83.63333333337756</v>
      </c>
      <c r="AB196" s="1057">
        <f t="shared" si="58"/>
        <v>88.9944444444606</v>
      </c>
      <c r="AC196" s="1058">
        <f t="shared" si="58"/>
        <v>69.69444444445459</v>
      </c>
      <c r="AD196" s="1058">
        <f t="shared" si="58"/>
        <v>78.27222222217335</v>
      </c>
      <c r="AE196" s="1058">
        <f t="shared" si="58"/>
        <v>83.63333333337756</v>
      </c>
      <c r="AF196" s="1059">
        <f t="shared" si="60"/>
        <v>64.33333333335688</v>
      </c>
      <c r="AG196" s="1059">
        <f t="shared" si="60"/>
        <v>72.91111111108842</v>
      </c>
      <c r="AH196" s="1059">
        <f t="shared" si="60"/>
        <v>78.27222222217335</v>
      </c>
      <c r="AI196" s="1060">
        <f t="shared" si="60"/>
        <v>58.97222222220754</v>
      </c>
      <c r="AJ196" s="1060">
        <f t="shared" si="60"/>
        <v>67.55000000000001</v>
      </c>
      <c r="AK196" s="1060">
        <f t="shared" si="60"/>
        <v>72.91111111108842</v>
      </c>
    </row>
    <row r="197" spans="8:8" ht="15.75" customHeight="1">
      <c r="D197" s="1049">
        <f t="shared" si="66" ref="D197:D260">D196+0.2/72</f>
        <v>0.5388888888889247</v>
      </c>
      <c r="E197" s="1050">
        <f t="shared" si="64"/>
        <v>154.12222222223247</v>
      </c>
      <c r="F197" s="1050">
        <f t="shared" si="65"/>
        <v>162.74444444445527</v>
      </c>
      <c r="G197" s="1050">
        <f t="shared" si="65"/>
        <v>168.13333333334452</v>
      </c>
      <c r="H197" s="1051">
        <f t="shared" si="63"/>
        <v>143.34444444442613</v>
      </c>
      <c r="I197" s="1051">
        <f t="shared" si="63"/>
        <v>151.96666666672166</v>
      </c>
      <c r="J197" s="1051">
        <f t="shared" si="63"/>
        <v>157.3555555555739</v>
      </c>
      <c r="K197" s="1052">
        <f t="shared" si="63"/>
        <v>132.56666666672166</v>
      </c>
      <c r="L197" s="1052">
        <f t="shared" si="63"/>
        <v>141.1888888888522</v>
      </c>
      <c r="M197" s="1052">
        <f t="shared" si="63"/>
        <v>146.57777777771344</v>
      </c>
      <c r="N197" s="1053">
        <f t="shared" si="63"/>
        <v>97.0</v>
      </c>
      <c r="O197" s="1053">
        <f t="shared" si="63"/>
        <v>105.62222222229556</v>
      </c>
      <c r="P197" s="1053">
        <f t="shared" si="63"/>
        <v>111.01111111114778</v>
      </c>
      <c r="Q197" s="1054">
        <f t="shared" si="63"/>
        <v>91.61111111114437</v>
      </c>
      <c r="R197" s="1054">
        <f t="shared" si="62"/>
        <v>100.23333333327834</v>
      </c>
      <c r="S197" s="1054">
        <f t="shared" si="62"/>
        <v>105.62222222229556</v>
      </c>
      <c r="T197" s="1055">
        <f t="shared" si="62"/>
        <v>86.22222222228356</v>
      </c>
      <c r="U197" s="1055">
        <f t="shared" si="59"/>
        <v>94.84444444442711</v>
      </c>
      <c r="V197" s="1055">
        <f t="shared" si="59"/>
        <v>100.23333333327834</v>
      </c>
      <c r="W197" s="1056">
        <f t="shared" si="59"/>
        <v>80.83333333329213</v>
      </c>
      <c r="X197" s="1056">
        <f t="shared" si="59"/>
        <v>89.45555555557169</v>
      </c>
      <c r="Y197" s="1056">
        <f t="shared" si="59"/>
        <v>94.84444444442711</v>
      </c>
      <c r="Z197" s="1057">
        <f t="shared" si="59"/>
        <v>75.44444444443242</v>
      </c>
      <c r="AA197" s="1057">
        <f t="shared" si="58"/>
        <v>84.06666666671086</v>
      </c>
      <c r="AB197" s="1057">
        <f t="shared" si="58"/>
        <v>89.45555555557169</v>
      </c>
      <c r="AC197" s="1058">
        <f t="shared" si="58"/>
        <v>70.05555555556569</v>
      </c>
      <c r="AD197" s="1058">
        <f t="shared" si="58"/>
        <v>78.67777777772885</v>
      </c>
      <c r="AE197" s="1058">
        <f t="shared" si="58"/>
        <v>84.06666666671086</v>
      </c>
      <c r="AF197" s="1059">
        <f t="shared" si="60"/>
        <v>64.66666666669018</v>
      </c>
      <c r="AG197" s="1059">
        <f t="shared" si="60"/>
        <v>73.28888888886623</v>
      </c>
      <c r="AH197" s="1059">
        <f t="shared" si="60"/>
        <v>78.67777777772885</v>
      </c>
      <c r="AI197" s="1060">
        <f t="shared" si="60"/>
        <v>59.27777777776314</v>
      </c>
      <c r="AJ197" s="1060">
        <f t="shared" si="60"/>
        <v>67.9</v>
      </c>
      <c r="AK197" s="1060">
        <f t="shared" si="60"/>
        <v>73.28888888886623</v>
      </c>
    </row>
    <row r="198" spans="8:8" ht="15.75" customHeight="1">
      <c r="D198" s="1049">
        <f t="shared" si="66"/>
        <v>0.5416666666667028</v>
      </c>
      <c r="E198" s="1050">
        <f t="shared" si="64"/>
        <v>154.916666666677</v>
      </c>
      <c r="F198" s="1050">
        <f t="shared" si="65"/>
        <v>163.58333333334426</v>
      </c>
      <c r="G198" s="1050">
        <f t="shared" si="65"/>
        <v>169.00000000001128</v>
      </c>
      <c r="H198" s="1051">
        <f t="shared" si="63"/>
        <v>144.08333333331512</v>
      </c>
      <c r="I198" s="1051">
        <f t="shared" si="63"/>
        <v>152.75000000005465</v>
      </c>
      <c r="J198" s="1051">
        <f t="shared" si="63"/>
        <v>158.1666666666849</v>
      </c>
      <c r="K198" s="1052">
        <f t="shared" si="63"/>
        <v>133.25000000005465</v>
      </c>
      <c r="L198" s="1052">
        <f t="shared" si="63"/>
        <v>141.91666666663022</v>
      </c>
      <c r="M198" s="1052">
        <f t="shared" si="63"/>
        <v>147.33333333326945</v>
      </c>
      <c r="N198" s="1053">
        <f t="shared" si="63"/>
        <v>97.5</v>
      </c>
      <c r="O198" s="1053">
        <f t="shared" si="63"/>
        <v>106.16666666673956</v>
      </c>
      <c r="P198" s="1053">
        <f t="shared" si="63"/>
        <v>111.58333333336978</v>
      </c>
      <c r="Q198" s="1054">
        <f t="shared" si="63"/>
        <v>92.08333333336657</v>
      </c>
      <c r="R198" s="1054">
        <f t="shared" si="62"/>
        <v>100.74999999994533</v>
      </c>
      <c r="S198" s="1054">
        <f t="shared" si="62"/>
        <v>106.16666666673956</v>
      </c>
      <c r="T198" s="1055">
        <f t="shared" si="62"/>
        <v>86.66666666672796</v>
      </c>
      <c r="U198" s="1055">
        <f t="shared" si="59"/>
        <v>95.333333333316</v>
      </c>
      <c r="V198" s="1055">
        <f t="shared" si="59"/>
        <v>100.74999999994533</v>
      </c>
      <c r="W198" s="1056">
        <f t="shared" si="59"/>
        <v>81.24999999995883</v>
      </c>
      <c r="X198" s="1056">
        <f t="shared" si="59"/>
        <v>89.91666666668279</v>
      </c>
      <c r="Y198" s="1056">
        <f t="shared" si="59"/>
        <v>95.333333333316</v>
      </c>
      <c r="Z198" s="1057">
        <f t="shared" si="59"/>
        <v>75.83333333332132</v>
      </c>
      <c r="AA198" s="1057">
        <f t="shared" si="58"/>
        <v>84.50000000004417</v>
      </c>
      <c r="AB198" s="1057">
        <f t="shared" si="58"/>
        <v>89.91666666668279</v>
      </c>
      <c r="AC198" s="1058">
        <f t="shared" si="58"/>
        <v>70.41666666667679</v>
      </c>
      <c r="AD198" s="1058">
        <f t="shared" si="58"/>
        <v>79.08333333328444</v>
      </c>
      <c r="AE198" s="1058">
        <f t="shared" si="58"/>
        <v>84.50000000004417</v>
      </c>
      <c r="AF198" s="1059">
        <f t="shared" si="60"/>
        <v>65.00000000002348</v>
      </c>
      <c r="AG198" s="1059">
        <f t="shared" si="60"/>
        <v>73.66666666664402</v>
      </c>
      <c r="AH198" s="1059">
        <f t="shared" si="60"/>
        <v>79.08333333328444</v>
      </c>
      <c r="AI198" s="1060">
        <f t="shared" si="60"/>
        <v>59.58333333331874</v>
      </c>
      <c r="AJ198" s="1060">
        <f t="shared" si="60"/>
        <v>68.25</v>
      </c>
      <c r="AK198" s="1060">
        <f t="shared" si="60"/>
        <v>73.66666666664402</v>
      </c>
    </row>
    <row r="199" spans="8:8" ht="15.75" customHeight="1">
      <c r="D199" s="1049">
        <f t="shared" si="66"/>
        <v>0.5444444444444808</v>
      </c>
      <c r="E199" s="1050">
        <f t="shared" si="64"/>
        <v>155.7111111111215</v>
      </c>
      <c r="F199" s="1050">
        <f t="shared" si="65"/>
        <v>164.42222222223322</v>
      </c>
      <c r="G199" s="1050">
        <f t="shared" si="65"/>
        <v>169.86666666667801</v>
      </c>
      <c r="H199" s="1051">
        <f t="shared" si="63"/>
        <v>144.82222222220412</v>
      </c>
      <c r="I199" s="1051">
        <f t="shared" si="63"/>
        <v>153.53333333338767</v>
      </c>
      <c r="J199" s="1051">
        <f t="shared" si="63"/>
        <v>158.9777777777959</v>
      </c>
      <c r="K199" s="1052">
        <f t="shared" si="63"/>
        <v>133.93333333338765</v>
      </c>
      <c r="L199" s="1052">
        <f t="shared" si="63"/>
        <v>142.6444444444082</v>
      </c>
      <c r="M199" s="1052">
        <f t="shared" si="63"/>
        <v>148.08888888882544</v>
      </c>
      <c r="N199" s="1053">
        <f t="shared" si="63"/>
        <v>98.0</v>
      </c>
      <c r="O199" s="1053">
        <f t="shared" si="63"/>
        <v>106.71111111118357</v>
      </c>
      <c r="P199" s="1053">
        <f t="shared" si="63"/>
        <v>112.15555555559177</v>
      </c>
      <c r="Q199" s="1054">
        <f t="shared" si="63"/>
        <v>92.55555555558877</v>
      </c>
      <c r="R199" s="1054">
        <f t="shared" si="62"/>
        <v>101.26666666661234</v>
      </c>
      <c r="S199" s="1054">
        <f t="shared" si="62"/>
        <v>106.71111111118357</v>
      </c>
      <c r="T199" s="1055">
        <f t="shared" si="62"/>
        <v>87.11111111117236</v>
      </c>
      <c r="U199" s="1055">
        <f t="shared" si="59"/>
        <v>95.8222222222049</v>
      </c>
      <c r="V199" s="1055">
        <f t="shared" si="59"/>
        <v>101.26666666661234</v>
      </c>
      <c r="W199" s="1056">
        <f t="shared" si="59"/>
        <v>81.66666666662553</v>
      </c>
      <c r="X199" s="1056">
        <f t="shared" si="59"/>
        <v>90.3777777777939</v>
      </c>
      <c r="Y199" s="1056">
        <f t="shared" si="59"/>
        <v>95.8222222222049</v>
      </c>
      <c r="Z199" s="1057">
        <f t="shared" si="59"/>
        <v>76.22222222221022</v>
      </c>
      <c r="AA199" s="1057">
        <f t="shared" si="58"/>
        <v>84.93333333337746</v>
      </c>
      <c r="AB199" s="1057">
        <f t="shared" si="58"/>
        <v>90.3777777777939</v>
      </c>
      <c r="AC199" s="1058">
        <f t="shared" si="58"/>
        <v>70.77777777778789</v>
      </c>
      <c r="AD199" s="1058">
        <f t="shared" si="58"/>
        <v>79.48888888883995</v>
      </c>
      <c r="AE199" s="1058">
        <f t="shared" si="58"/>
        <v>84.93333333337746</v>
      </c>
      <c r="AF199" s="1059">
        <f t="shared" si="60"/>
        <v>65.33333333335678</v>
      </c>
      <c r="AG199" s="1059">
        <f t="shared" si="60"/>
        <v>74.04444444442181</v>
      </c>
      <c r="AH199" s="1059">
        <f t="shared" si="60"/>
        <v>79.48888888883995</v>
      </c>
      <c r="AI199" s="1060">
        <f t="shared" si="60"/>
        <v>59.88888888887434</v>
      </c>
      <c r="AJ199" s="1060">
        <f t="shared" si="60"/>
        <v>68.60000000000001</v>
      </c>
      <c r="AK199" s="1060">
        <f t="shared" si="60"/>
        <v>74.04444444442181</v>
      </c>
    </row>
    <row r="200" spans="8:8" ht="15.75" customHeight="1">
      <c r="D200" s="1049">
        <f t="shared" si="66"/>
        <v>0.5472222222222588</v>
      </c>
      <c r="E200" s="1050">
        <f t="shared" si="64"/>
        <v>156.50555555556602</v>
      </c>
      <c r="F200" s="1050">
        <f t="shared" si="65"/>
        <v>165.26111111112215</v>
      </c>
      <c r="G200" s="1050">
        <f t="shared" si="65"/>
        <v>170.73333333334475</v>
      </c>
      <c r="H200" s="1051">
        <f t="shared" si="63"/>
        <v>145.5611111110931</v>
      </c>
      <c r="I200" s="1051">
        <f t="shared" si="63"/>
        <v>154.31666666672066</v>
      </c>
      <c r="J200" s="1051">
        <f t="shared" si="63"/>
        <v>159.7888888889069</v>
      </c>
      <c r="K200" s="1052">
        <f t="shared" si="63"/>
        <v>134.61666666672068</v>
      </c>
      <c r="L200" s="1052">
        <f t="shared" si="63"/>
        <v>143.37222222218622</v>
      </c>
      <c r="M200" s="1052">
        <f t="shared" si="63"/>
        <v>148.84444444438145</v>
      </c>
      <c r="N200" s="1053">
        <f t="shared" si="63"/>
        <v>98.5</v>
      </c>
      <c r="O200" s="1053">
        <f t="shared" si="63"/>
        <v>107.25555555562757</v>
      </c>
      <c r="P200" s="1053">
        <f t="shared" si="63"/>
        <v>112.72777777781377</v>
      </c>
      <c r="Q200" s="1054">
        <f t="shared" si="63"/>
        <v>93.02777777781097</v>
      </c>
      <c r="R200" s="1054">
        <f t="shared" si="67" ref="R200:T214">R201-(R$363/360)</f>
        <v>101.78333333327933</v>
      </c>
      <c r="S200" s="1054">
        <f t="shared" si="67"/>
        <v>107.25555555562757</v>
      </c>
      <c r="T200" s="1055">
        <f t="shared" si="67"/>
        <v>87.55555555561676</v>
      </c>
      <c r="U200" s="1055">
        <f t="shared" si="59"/>
        <v>96.31111111109381</v>
      </c>
      <c r="V200" s="1055">
        <f t="shared" si="59"/>
        <v>101.78333333327933</v>
      </c>
      <c r="W200" s="1056">
        <f t="shared" si="59"/>
        <v>82.08333333329223</v>
      </c>
      <c r="X200" s="1056">
        <f t="shared" si="59"/>
        <v>90.83888888890499</v>
      </c>
      <c r="Y200" s="1056">
        <f t="shared" si="59"/>
        <v>96.31111111109381</v>
      </c>
      <c r="Z200" s="1057">
        <f t="shared" si="59"/>
        <v>76.61111111109912</v>
      </c>
      <c r="AA200" s="1057">
        <f t="shared" si="59"/>
        <v>85.36666666671076</v>
      </c>
      <c r="AB200" s="1057">
        <f t="shared" si="59"/>
        <v>90.83888888890499</v>
      </c>
      <c r="AC200" s="1058">
        <f t="shared" si="59"/>
        <v>71.13888888889899</v>
      </c>
      <c r="AD200" s="1058">
        <f t="shared" si="59"/>
        <v>79.89444444439545</v>
      </c>
      <c r="AE200" s="1058">
        <f t="shared" si="59"/>
        <v>85.36666666671076</v>
      </c>
      <c r="AF200" s="1059">
        <f t="shared" si="60"/>
        <v>65.66666666669008</v>
      </c>
      <c r="AG200" s="1059">
        <f t="shared" si="60"/>
        <v>74.42222222219962</v>
      </c>
      <c r="AH200" s="1059">
        <f t="shared" si="60"/>
        <v>79.89444444439545</v>
      </c>
      <c r="AI200" s="1060">
        <f t="shared" si="60"/>
        <v>60.19444444442994</v>
      </c>
      <c r="AJ200" s="1060">
        <f t="shared" si="60"/>
        <v>68.95</v>
      </c>
      <c r="AK200" s="1060">
        <f t="shared" si="60"/>
        <v>74.42222222219962</v>
      </c>
    </row>
    <row r="201" spans="8:8" ht="15.75" customHeight="1">
      <c r="D201" s="1049">
        <f t="shared" si="66"/>
        <v>0.5500000000000368</v>
      </c>
      <c r="E201" s="1050">
        <f t="shared" si="64"/>
        <v>157.30000000001053</v>
      </c>
      <c r="F201" s="1050">
        <f t="shared" si="65"/>
        <v>166.1000000000111</v>
      </c>
      <c r="G201" s="1050">
        <f t="shared" si="65"/>
        <v>171.60000000001148</v>
      </c>
      <c r="H201" s="1051">
        <f t="shared" si="63"/>
        <v>146.29999999998213</v>
      </c>
      <c r="I201" s="1051">
        <f t="shared" si="63"/>
        <v>155.10000000005365</v>
      </c>
      <c r="J201" s="1051">
        <f t="shared" si="63"/>
        <v>160.6000000000179</v>
      </c>
      <c r="K201" s="1052">
        <f t="shared" si="63"/>
        <v>135.30000000005367</v>
      </c>
      <c r="L201" s="1052">
        <f t="shared" si="63"/>
        <v>144.0999999999642</v>
      </c>
      <c r="M201" s="1052">
        <f t="shared" si="63"/>
        <v>149.59999999993744</v>
      </c>
      <c r="N201" s="1053">
        <f t="shared" si="63"/>
        <v>99.0</v>
      </c>
      <c r="O201" s="1053">
        <f t="shared" si="63"/>
        <v>107.80000000007156</v>
      </c>
      <c r="P201" s="1053">
        <f t="shared" si="63"/>
        <v>113.30000000003578</v>
      </c>
      <c r="Q201" s="1054">
        <f t="shared" si="63"/>
        <v>93.50000000003317</v>
      </c>
      <c r="R201" s="1054">
        <f t="shared" si="67"/>
        <v>102.29999999994634</v>
      </c>
      <c r="S201" s="1054">
        <f t="shared" si="67"/>
        <v>107.80000000007156</v>
      </c>
      <c r="T201" s="1055">
        <f t="shared" si="67"/>
        <v>88.00000000006116</v>
      </c>
      <c r="U201" s="1055">
        <f t="shared" si="59"/>
        <v>96.7999999999827</v>
      </c>
      <c r="V201" s="1055">
        <f t="shared" si="59"/>
        <v>102.29999999994634</v>
      </c>
      <c r="W201" s="1056">
        <f t="shared" si="59"/>
        <v>82.49999999995893</v>
      </c>
      <c r="X201" s="1056">
        <f t="shared" si="59"/>
        <v>91.3000000000161</v>
      </c>
      <c r="Y201" s="1056">
        <f t="shared" si="59"/>
        <v>96.7999999999827</v>
      </c>
      <c r="Z201" s="1057">
        <f t="shared" si="59"/>
        <v>76.99999999998802</v>
      </c>
      <c r="AA201" s="1057">
        <f t="shared" si="59"/>
        <v>85.80000000004407</v>
      </c>
      <c r="AB201" s="1057">
        <f t="shared" si="59"/>
        <v>91.3000000000161</v>
      </c>
      <c r="AC201" s="1058">
        <f t="shared" si="59"/>
        <v>71.50000000001009</v>
      </c>
      <c r="AD201" s="1058">
        <f t="shared" si="59"/>
        <v>80.29999999995096</v>
      </c>
      <c r="AE201" s="1058">
        <f t="shared" si="59"/>
        <v>85.80000000004407</v>
      </c>
      <c r="AF201" s="1059">
        <f t="shared" si="60"/>
        <v>66.00000000002338</v>
      </c>
      <c r="AG201" s="1059">
        <f t="shared" si="60"/>
        <v>74.79999999997742</v>
      </c>
      <c r="AH201" s="1059">
        <f t="shared" si="60"/>
        <v>80.29999999995096</v>
      </c>
      <c r="AI201" s="1060">
        <f t="shared" si="60"/>
        <v>60.49999999998554</v>
      </c>
      <c r="AJ201" s="1060">
        <f t="shared" si="60"/>
        <v>69.30000000000001</v>
      </c>
      <c r="AK201" s="1060">
        <f t="shared" si="60"/>
        <v>74.79999999997742</v>
      </c>
    </row>
    <row r="202" spans="8:8" ht="15.75" customHeight="1">
      <c r="D202" s="1049">
        <f t="shared" si="66"/>
        <v>0.5527777777778148</v>
      </c>
      <c r="E202" s="1050">
        <f t="shared" si="64"/>
        <v>158.09444444445504</v>
      </c>
      <c r="F202" s="1050">
        <f t="shared" si="65"/>
        <v>166.93888888890007</v>
      </c>
      <c r="G202" s="1050">
        <f t="shared" si="65"/>
        <v>172.4666666666782</v>
      </c>
      <c r="H202" s="1051">
        <f t="shared" si="63"/>
        <v>147.03888888887113</v>
      </c>
      <c r="I202" s="1051">
        <f t="shared" si="63"/>
        <v>155.88333333338667</v>
      </c>
      <c r="J202" s="1051">
        <f t="shared" si="63"/>
        <v>161.4111111111289</v>
      </c>
      <c r="K202" s="1052">
        <f t="shared" si="63"/>
        <v>135.98333333338667</v>
      </c>
      <c r="L202" s="1052">
        <f t="shared" si="63"/>
        <v>144.8277777777422</v>
      </c>
      <c r="M202" s="1052">
        <f t="shared" si="63"/>
        <v>150.35555555549345</v>
      </c>
      <c r="N202" s="1053">
        <f t="shared" si="63"/>
        <v>99.5</v>
      </c>
      <c r="O202" s="1053">
        <f t="shared" si="63"/>
        <v>108.34444444451556</v>
      </c>
      <c r="P202" s="1053">
        <f t="shared" si="63"/>
        <v>113.87222222225778</v>
      </c>
      <c r="Q202" s="1054">
        <f t="shared" si="63"/>
        <v>93.97222222225537</v>
      </c>
      <c r="R202" s="1054">
        <f t="shared" si="67"/>
        <v>102.81666666661333</v>
      </c>
      <c r="S202" s="1054">
        <f t="shared" si="67"/>
        <v>108.34444444451556</v>
      </c>
      <c r="T202" s="1055">
        <f t="shared" si="67"/>
        <v>88.44444444450556</v>
      </c>
      <c r="U202" s="1055">
        <f t="shared" si="59"/>
        <v>97.28888888887161</v>
      </c>
      <c r="V202" s="1055">
        <f t="shared" si="59"/>
        <v>102.81666666661333</v>
      </c>
      <c r="W202" s="1056">
        <f t="shared" si="59"/>
        <v>82.91666666662563</v>
      </c>
      <c r="X202" s="1056">
        <f t="shared" si="59"/>
        <v>91.76111111112719</v>
      </c>
      <c r="Y202" s="1056">
        <f t="shared" si="59"/>
        <v>97.28888888887161</v>
      </c>
      <c r="Z202" s="1057">
        <f t="shared" si="59"/>
        <v>77.38888888887692</v>
      </c>
      <c r="AA202" s="1057">
        <f t="shared" si="59"/>
        <v>86.23333333337736</v>
      </c>
      <c r="AB202" s="1057">
        <f t="shared" si="59"/>
        <v>91.76111111112719</v>
      </c>
      <c r="AC202" s="1058">
        <f t="shared" si="59"/>
        <v>71.86111111112119</v>
      </c>
      <c r="AD202" s="1058">
        <f t="shared" si="59"/>
        <v>80.70555555550645</v>
      </c>
      <c r="AE202" s="1058">
        <f t="shared" si="59"/>
        <v>86.23333333337736</v>
      </c>
      <c r="AF202" s="1059">
        <f t="shared" si="60"/>
        <v>66.33333333335668</v>
      </c>
      <c r="AG202" s="1059">
        <f t="shared" si="60"/>
        <v>75.17777777775522</v>
      </c>
      <c r="AH202" s="1059">
        <f t="shared" si="60"/>
        <v>80.70555555550645</v>
      </c>
      <c r="AI202" s="1060">
        <f t="shared" si="60"/>
        <v>60.80555555554114</v>
      </c>
      <c r="AJ202" s="1060">
        <f t="shared" si="60"/>
        <v>69.65</v>
      </c>
      <c r="AK202" s="1060">
        <f t="shared" si="60"/>
        <v>75.17777777775522</v>
      </c>
    </row>
    <row r="203" spans="8:8" ht="15.75" customHeight="1">
      <c r="D203" s="1049">
        <f t="shared" si="66"/>
        <v>0.5555555555555928</v>
      </c>
      <c r="E203" s="1050">
        <f t="shared" si="64"/>
        <v>158.88888888889954</v>
      </c>
      <c r="F203" s="1050">
        <f t="shared" si="65"/>
        <v>167.77777777778903</v>
      </c>
      <c r="G203" s="1050">
        <f t="shared" si="65"/>
        <v>173.33333333334494</v>
      </c>
      <c r="H203" s="1051">
        <f t="shared" si="63"/>
        <v>147.77777777776012</v>
      </c>
      <c r="I203" s="1051">
        <f t="shared" si="63"/>
        <v>156.66666666671966</v>
      </c>
      <c r="J203" s="1051">
        <f t="shared" si="63"/>
        <v>162.2222222222399</v>
      </c>
      <c r="K203" s="1052">
        <f t="shared" si="63"/>
        <v>136.66666666671966</v>
      </c>
      <c r="L203" s="1052">
        <f t="shared" si="63"/>
        <v>145.55555555552021</v>
      </c>
      <c r="M203" s="1052">
        <f t="shared" si="63"/>
        <v>151.11111111104944</v>
      </c>
      <c r="N203" s="1053">
        <f t="shared" si="63"/>
        <v>100.0</v>
      </c>
      <c r="O203" s="1053">
        <f t="shared" si="63"/>
        <v>108.88888888895956</v>
      </c>
      <c r="P203" s="1053">
        <f t="shared" si="63"/>
        <v>114.44444444447977</v>
      </c>
      <c r="Q203" s="1054">
        <f t="shared" si="63"/>
        <v>94.44444444447757</v>
      </c>
      <c r="R203" s="1054">
        <f t="shared" si="67"/>
        <v>103.33333333328034</v>
      </c>
      <c r="S203" s="1054">
        <f t="shared" si="67"/>
        <v>108.88888888895956</v>
      </c>
      <c r="T203" s="1055">
        <f t="shared" si="67"/>
        <v>88.88888888894996</v>
      </c>
      <c r="U203" s="1055">
        <f t="shared" si="59"/>
        <v>97.7777777777605</v>
      </c>
      <c r="V203" s="1055">
        <f t="shared" si="59"/>
        <v>103.33333333328034</v>
      </c>
      <c r="W203" s="1056">
        <f t="shared" si="59"/>
        <v>83.33333333329233</v>
      </c>
      <c r="X203" s="1056">
        <f t="shared" si="59"/>
        <v>92.22222222223829</v>
      </c>
      <c r="Y203" s="1056">
        <f t="shared" si="59"/>
        <v>97.7777777777605</v>
      </c>
      <c r="Z203" s="1057">
        <f t="shared" si="59"/>
        <v>77.77777777776582</v>
      </c>
      <c r="AA203" s="1057">
        <f t="shared" si="59"/>
        <v>86.66666666671067</v>
      </c>
      <c r="AB203" s="1057">
        <f t="shared" si="59"/>
        <v>92.22222222223829</v>
      </c>
      <c r="AC203" s="1058">
        <f t="shared" si="59"/>
        <v>72.22222222223229</v>
      </c>
      <c r="AD203" s="1058">
        <f t="shared" si="59"/>
        <v>81.11111111106204</v>
      </c>
      <c r="AE203" s="1058">
        <f t="shared" si="59"/>
        <v>86.66666666671067</v>
      </c>
      <c r="AF203" s="1059">
        <f t="shared" si="60"/>
        <v>66.66666666668998</v>
      </c>
      <c r="AG203" s="1059">
        <f t="shared" si="60"/>
        <v>75.55555555553302</v>
      </c>
      <c r="AH203" s="1059">
        <f t="shared" si="60"/>
        <v>81.11111111106204</v>
      </c>
      <c r="AI203" s="1060">
        <f t="shared" si="60"/>
        <v>61.11111111109674</v>
      </c>
      <c r="AJ203" s="1060">
        <f t="shared" si="60"/>
        <v>70.0</v>
      </c>
      <c r="AK203" s="1060">
        <f t="shared" si="60"/>
        <v>75.55555555553302</v>
      </c>
    </row>
    <row r="204" spans="8:8" ht="15.75" customHeight="1">
      <c r="D204" s="1049">
        <f t="shared" si="66"/>
        <v>0.5583333333333708</v>
      </c>
      <c r="E204" s="1050">
        <f t="shared" si="64"/>
        <v>159.68333333334405</v>
      </c>
      <c r="F204" s="1050">
        <f t="shared" si="65"/>
        <v>168.61666666667796</v>
      </c>
      <c r="G204" s="1050">
        <f t="shared" si="65"/>
        <v>174.20000000001167</v>
      </c>
      <c r="H204" s="1051">
        <f t="shared" si="63"/>
        <v>148.51666666664912</v>
      </c>
      <c r="I204" s="1051">
        <f t="shared" si="63"/>
        <v>157.45000000005268</v>
      </c>
      <c r="J204" s="1051">
        <f t="shared" si="63"/>
        <v>163.0333333333509</v>
      </c>
      <c r="K204" s="1052">
        <f t="shared" si="63"/>
        <v>137.35000000005266</v>
      </c>
      <c r="L204" s="1052">
        <f t="shared" si="63"/>
        <v>146.2833333332982</v>
      </c>
      <c r="M204" s="1052">
        <f t="shared" si="63"/>
        <v>151.86666666660545</v>
      </c>
      <c r="N204" s="1053">
        <f t="shared" si="63"/>
        <v>100.5</v>
      </c>
      <c r="O204" s="1053">
        <f t="shared" si="63"/>
        <v>109.43333333340357</v>
      </c>
      <c r="P204" s="1053">
        <f t="shared" si="63"/>
        <v>115.01666666670178</v>
      </c>
      <c r="Q204" s="1054">
        <f t="shared" si="63"/>
        <v>94.91666666669977</v>
      </c>
      <c r="R204" s="1054">
        <f t="shared" si="67"/>
        <v>103.84999999994733</v>
      </c>
      <c r="S204" s="1054">
        <f t="shared" si="67"/>
        <v>109.43333333340357</v>
      </c>
      <c r="T204" s="1055">
        <f t="shared" si="67"/>
        <v>89.33333333339436</v>
      </c>
      <c r="U204" s="1055">
        <f t="shared" si="59"/>
        <v>98.2666666666494</v>
      </c>
      <c r="V204" s="1055">
        <f t="shared" si="59"/>
        <v>103.84999999994733</v>
      </c>
      <c r="W204" s="1056">
        <f t="shared" si="59"/>
        <v>83.74999999995903</v>
      </c>
      <c r="X204" s="1056">
        <f t="shared" si="59"/>
        <v>92.6833333333494</v>
      </c>
      <c r="Y204" s="1056">
        <f t="shared" si="59"/>
        <v>98.2666666666494</v>
      </c>
      <c r="Z204" s="1057">
        <f t="shared" si="59"/>
        <v>78.16666666665472</v>
      </c>
      <c r="AA204" s="1057">
        <f t="shared" si="59"/>
        <v>87.10000000004396</v>
      </c>
      <c r="AB204" s="1057">
        <f t="shared" si="59"/>
        <v>92.6833333333494</v>
      </c>
      <c r="AC204" s="1058">
        <f t="shared" si="59"/>
        <v>72.58333333334339</v>
      </c>
      <c r="AD204" s="1058">
        <f t="shared" si="59"/>
        <v>81.51666666661755</v>
      </c>
      <c r="AE204" s="1058">
        <f t="shared" si="59"/>
        <v>87.10000000004396</v>
      </c>
      <c r="AF204" s="1059">
        <f t="shared" si="60"/>
        <v>67.00000000002328</v>
      </c>
      <c r="AG204" s="1059">
        <f t="shared" si="60"/>
        <v>75.93333333331081</v>
      </c>
      <c r="AH204" s="1059">
        <f t="shared" si="60"/>
        <v>81.51666666661755</v>
      </c>
      <c r="AI204" s="1060">
        <f t="shared" si="60"/>
        <v>61.41666666665234</v>
      </c>
      <c r="AJ204" s="1060">
        <f t="shared" si="60"/>
        <v>70.35000000000001</v>
      </c>
      <c r="AK204" s="1060">
        <f t="shared" si="60"/>
        <v>75.93333333331081</v>
      </c>
    </row>
    <row r="205" spans="8:8" ht="15.75" customHeight="1">
      <c r="D205" s="1049">
        <f t="shared" si="66"/>
        <v>0.5611111111111488</v>
      </c>
      <c r="E205" s="1050">
        <f t="shared" si="64"/>
        <v>160.47777777778853</v>
      </c>
      <c r="F205" s="1050">
        <f t="shared" si="65"/>
        <v>169.45555555556692</v>
      </c>
      <c r="G205" s="1050">
        <f t="shared" si="65"/>
        <v>175.0666666666784</v>
      </c>
      <c r="H205" s="1051">
        <f t="shared" si="63"/>
        <v>149.2555555555381</v>
      </c>
      <c r="I205" s="1051">
        <f t="shared" si="63"/>
        <v>158.23333333338567</v>
      </c>
      <c r="J205" s="1051">
        <f t="shared" si="63"/>
        <v>163.84444444446189</v>
      </c>
      <c r="K205" s="1052">
        <f t="shared" si="63"/>
        <v>138.03333333338566</v>
      </c>
      <c r="L205" s="1052">
        <f t="shared" si="63"/>
        <v>147.01111111107622</v>
      </c>
      <c r="M205" s="1052">
        <f t="shared" si="63"/>
        <v>152.62222222216144</v>
      </c>
      <c r="N205" s="1053">
        <f t="shared" si="63"/>
        <v>101.0</v>
      </c>
      <c r="O205" s="1053">
        <f t="shared" si="63"/>
        <v>109.97777777784756</v>
      </c>
      <c r="P205" s="1053">
        <f t="shared" si="63"/>
        <v>115.58888888892378</v>
      </c>
      <c r="Q205" s="1054">
        <f t="shared" si="63"/>
        <v>95.38888888892197</v>
      </c>
      <c r="R205" s="1054">
        <f t="shared" si="67"/>
        <v>104.36666666661434</v>
      </c>
      <c r="S205" s="1054">
        <f t="shared" si="67"/>
        <v>109.97777777784756</v>
      </c>
      <c r="T205" s="1055">
        <f t="shared" si="67"/>
        <v>89.77777777783875</v>
      </c>
      <c r="U205" s="1055">
        <f t="shared" si="59"/>
        <v>98.75555555553831</v>
      </c>
      <c r="V205" s="1055">
        <f t="shared" si="59"/>
        <v>104.36666666661434</v>
      </c>
      <c r="W205" s="1056">
        <f t="shared" si="59"/>
        <v>84.16666666662573</v>
      </c>
      <c r="X205" s="1056">
        <f t="shared" si="59"/>
        <v>93.14444444446049</v>
      </c>
      <c r="Y205" s="1056">
        <f t="shared" si="59"/>
        <v>98.75555555553831</v>
      </c>
      <c r="Z205" s="1057">
        <f t="shared" si="59"/>
        <v>78.55555555554362</v>
      </c>
      <c r="AA205" s="1057">
        <f t="shared" si="59"/>
        <v>87.53333333337726</v>
      </c>
      <c r="AB205" s="1057">
        <f t="shared" si="59"/>
        <v>93.14444444446049</v>
      </c>
      <c r="AC205" s="1058">
        <f t="shared" si="59"/>
        <v>72.94444444445449</v>
      </c>
      <c r="AD205" s="1058">
        <f t="shared" si="59"/>
        <v>81.92222222217305</v>
      </c>
      <c r="AE205" s="1058">
        <f t="shared" si="59"/>
        <v>87.53333333337726</v>
      </c>
      <c r="AF205" s="1059">
        <f t="shared" si="60"/>
        <v>67.33333333335658</v>
      </c>
      <c r="AG205" s="1059">
        <f t="shared" si="60"/>
        <v>76.31111111108862</v>
      </c>
      <c r="AH205" s="1059">
        <f t="shared" si="60"/>
        <v>81.92222222217305</v>
      </c>
      <c r="AI205" s="1060">
        <f t="shared" si="60"/>
        <v>61.72222222220794</v>
      </c>
      <c r="AJ205" s="1060">
        <f t="shared" si="60"/>
        <v>70.7</v>
      </c>
      <c r="AK205" s="1060">
        <f t="shared" si="60"/>
        <v>76.31111111108862</v>
      </c>
    </row>
    <row r="206" spans="8:8" ht="15.75" customHeight="1">
      <c r="D206" s="1049">
        <f t="shared" si="66"/>
        <v>0.5638888888889267</v>
      </c>
      <c r="E206" s="1050">
        <f t="shared" si="64"/>
        <v>161.27222222223304</v>
      </c>
      <c r="F206" s="1050">
        <f t="shared" si="65"/>
        <v>170.29444444445588</v>
      </c>
      <c r="G206" s="1050">
        <f t="shared" si="65"/>
        <v>175.93333333334513</v>
      </c>
      <c r="H206" s="1051">
        <f t="shared" si="63"/>
        <v>149.99444444442713</v>
      </c>
      <c r="I206" s="1051">
        <f t="shared" si="63"/>
        <v>159.01666666671866</v>
      </c>
      <c r="J206" s="1051">
        <f t="shared" si="63"/>
        <v>164.6555555555729</v>
      </c>
      <c r="K206" s="1052">
        <f t="shared" si="63"/>
        <v>138.71666666671865</v>
      </c>
      <c r="L206" s="1052">
        <f t="shared" si="63"/>
        <v>147.7388888888542</v>
      </c>
      <c r="M206" s="1052">
        <f t="shared" si="63"/>
        <v>153.37777777771743</v>
      </c>
      <c r="N206" s="1053">
        <f t="shared" si="63"/>
        <v>101.5</v>
      </c>
      <c r="O206" s="1053">
        <f t="shared" si="63"/>
        <v>110.52222222229156</v>
      </c>
      <c r="P206" s="1053">
        <f t="shared" si="63"/>
        <v>116.16111111114577</v>
      </c>
      <c r="Q206" s="1054">
        <f t="shared" si="63"/>
        <v>95.86111111114417</v>
      </c>
      <c r="R206" s="1054">
        <f t="shared" si="67"/>
        <v>104.88333333328133</v>
      </c>
      <c r="S206" s="1054">
        <f t="shared" si="67"/>
        <v>110.52222222229156</v>
      </c>
      <c r="T206" s="1055">
        <f t="shared" si="67"/>
        <v>90.22222222228315</v>
      </c>
      <c r="U206" s="1055">
        <f t="shared" si="68" ref="U206:AJ226">U207-(U$363/360)</f>
        <v>99.2444444444272</v>
      </c>
      <c r="V206" s="1055">
        <f t="shared" si="59"/>
        <v>104.88333333328133</v>
      </c>
      <c r="W206" s="1056">
        <f t="shared" si="59"/>
        <v>84.58333333329243</v>
      </c>
      <c r="X206" s="1056">
        <f t="shared" si="68"/>
        <v>93.6055555555716</v>
      </c>
      <c r="Y206" s="1056">
        <f t="shared" si="68"/>
        <v>99.2444444444272</v>
      </c>
      <c r="Z206" s="1057">
        <f t="shared" si="68"/>
        <v>78.94444444443252</v>
      </c>
      <c r="AA206" s="1057">
        <f t="shared" si="68"/>
        <v>87.96666666671057</v>
      </c>
      <c r="AB206" s="1057">
        <f t="shared" si="68"/>
        <v>93.6055555555716</v>
      </c>
      <c r="AC206" s="1058">
        <f t="shared" si="68"/>
        <v>73.30555555556559</v>
      </c>
      <c r="AD206" s="1058">
        <f t="shared" si="68"/>
        <v>82.32777777772864</v>
      </c>
      <c r="AE206" s="1058">
        <f t="shared" si="68"/>
        <v>87.96666666671057</v>
      </c>
      <c r="AF206" s="1059">
        <f t="shared" si="60"/>
        <v>67.66666666668988</v>
      </c>
      <c r="AG206" s="1059">
        <f t="shared" si="60"/>
        <v>76.68888888886642</v>
      </c>
      <c r="AH206" s="1059">
        <f t="shared" si="60"/>
        <v>82.32777777772864</v>
      </c>
      <c r="AI206" s="1060">
        <f t="shared" si="60"/>
        <v>62.027777777763546</v>
      </c>
      <c r="AJ206" s="1060">
        <f t="shared" si="60"/>
        <v>71.05000000000001</v>
      </c>
      <c r="AK206" s="1060">
        <f t="shared" si="60"/>
        <v>76.68888888886642</v>
      </c>
    </row>
    <row r="207" spans="8:8" ht="15.75" customHeight="1">
      <c r="D207" s="1049">
        <f t="shared" si="66"/>
        <v>0.5666666666667047</v>
      </c>
      <c r="E207" s="1050">
        <f t="shared" si="64"/>
        <v>162.06666666667755</v>
      </c>
      <c r="F207" s="1050">
        <f t="shared" si="65"/>
        <v>171.13333333334484</v>
      </c>
      <c r="G207" s="1050">
        <f t="shared" si="65"/>
        <v>176.80000000001186</v>
      </c>
      <c r="H207" s="1051">
        <f t="shared" si="63"/>
        <v>150.73333333331612</v>
      </c>
      <c r="I207" s="1051">
        <f t="shared" si="63"/>
        <v>159.80000000005168</v>
      </c>
      <c r="J207" s="1051">
        <f t="shared" si="63"/>
        <v>165.4666666666839</v>
      </c>
      <c r="K207" s="1052">
        <f t="shared" si="63"/>
        <v>139.40000000005168</v>
      </c>
      <c r="L207" s="1052">
        <f t="shared" si="63"/>
        <v>148.46666666663222</v>
      </c>
      <c r="M207" s="1052">
        <f t="shared" si="63"/>
        <v>154.13333333327344</v>
      </c>
      <c r="N207" s="1053">
        <f t="shared" si="63"/>
        <v>102.0</v>
      </c>
      <c r="O207" s="1053">
        <f t="shared" si="63"/>
        <v>111.06666666673556</v>
      </c>
      <c r="P207" s="1053">
        <f t="shared" si="63"/>
        <v>116.73333333336778</v>
      </c>
      <c r="Q207" s="1054">
        <f t="shared" si="63"/>
        <v>96.33333333336637</v>
      </c>
      <c r="R207" s="1054">
        <f t="shared" si="67"/>
        <v>105.39999999994834</v>
      </c>
      <c r="S207" s="1054">
        <f t="shared" si="67"/>
        <v>111.06666666673556</v>
      </c>
      <c r="T207" s="1055">
        <f t="shared" si="67"/>
        <v>90.66666666672755</v>
      </c>
      <c r="U207" s="1055">
        <f t="shared" si="68"/>
        <v>99.73333333331611</v>
      </c>
      <c r="V207" s="1055">
        <f t="shared" si="68"/>
        <v>105.39999999994834</v>
      </c>
      <c r="W207" s="1056">
        <f t="shared" si="68"/>
        <v>84.99999999995913</v>
      </c>
      <c r="X207" s="1056">
        <f t="shared" si="68"/>
        <v>94.06666666668269</v>
      </c>
      <c r="Y207" s="1056">
        <f t="shared" si="68"/>
        <v>99.73333333331611</v>
      </c>
      <c r="Z207" s="1057">
        <f t="shared" si="68"/>
        <v>79.33333333332142</v>
      </c>
      <c r="AA207" s="1057">
        <f t="shared" si="68"/>
        <v>88.40000000004386</v>
      </c>
      <c r="AB207" s="1057">
        <f t="shared" si="68"/>
        <v>94.06666666668269</v>
      </c>
      <c r="AC207" s="1058">
        <f t="shared" si="68"/>
        <v>73.66666666667669</v>
      </c>
      <c r="AD207" s="1058">
        <f t="shared" si="68"/>
        <v>82.73333333328415</v>
      </c>
      <c r="AE207" s="1058">
        <f t="shared" si="68"/>
        <v>88.40000000004386</v>
      </c>
      <c r="AF207" s="1059">
        <f t="shared" si="60"/>
        <v>68.00000000002318</v>
      </c>
      <c r="AG207" s="1059">
        <f t="shared" si="60"/>
        <v>77.06666666664422</v>
      </c>
      <c r="AH207" s="1059">
        <f t="shared" si="60"/>
        <v>82.73333333328415</v>
      </c>
      <c r="AI207" s="1060">
        <f t="shared" si="60"/>
        <v>62.333333333319146</v>
      </c>
      <c r="AJ207" s="1060">
        <f t="shared" si="60"/>
        <v>71.4</v>
      </c>
      <c r="AK207" s="1060">
        <f t="shared" si="60"/>
        <v>77.06666666664422</v>
      </c>
    </row>
    <row r="208" spans="8:8" ht="15.75" customHeight="1">
      <c r="D208" s="1049">
        <f t="shared" si="66"/>
        <v>0.5694444444444827</v>
      </c>
      <c r="E208" s="1050">
        <f t="shared" si="64"/>
        <v>162.86111111112206</v>
      </c>
      <c r="F208" s="1050">
        <f t="shared" si="65"/>
        <v>171.9722222222338</v>
      </c>
      <c r="G208" s="1050">
        <f t="shared" si="65"/>
        <v>177.66666666667862</v>
      </c>
      <c r="H208" s="1051">
        <f t="shared" si="63"/>
        <v>151.47222222220512</v>
      </c>
      <c r="I208" s="1051">
        <f t="shared" si="63"/>
        <v>160.58333333338467</v>
      </c>
      <c r="J208" s="1051">
        <f t="shared" si="63"/>
        <v>166.2777777777949</v>
      </c>
      <c r="K208" s="1052">
        <f t="shared" si="63"/>
        <v>140.08333333338467</v>
      </c>
      <c r="L208" s="1052">
        <f t="shared" si="63"/>
        <v>149.1944444444102</v>
      </c>
      <c r="M208" s="1052">
        <f t="shared" si="63"/>
        <v>154.88888888882943</v>
      </c>
      <c r="N208" s="1053">
        <f t="shared" si="63"/>
        <v>102.5</v>
      </c>
      <c r="O208" s="1053">
        <f t="shared" si="63"/>
        <v>111.61111111117957</v>
      </c>
      <c r="P208" s="1053">
        <f t="shared" si="63"/>
        <v>117.30555555558978</v>
      </c>
      <c r="Q208" s="1054">
        <f t="shared" si="63"/>
        <v>96.80555555558857</v>
      </c>
      <c r="R208" s="1054">
        <f t="shared" si="67"/>
        <v>105.91666666661533</v>
      </c>
      <c r="S208" s="1054">
        <f t="shared" si="67"/>
        <v>111.61111111117957</v>
      </c>
      <c r="T208" s="1055">
        <f t="shared" si="67"/>
        <v>91.11111111117195</v>
      </c>
      <c r="U208" s="1055">
        <f t="shared" si="68"/>
        <v>100.2222222222051</v>
      </c>
      <c r="V208" s="1055">
        <f t="shared" si="68"/>
        <v>105.91666666661533</v>
      </c>
      <c r="W208" s="1056">
        <f t="shared" si="68"/>
        <v>85.41666666662583</v>
      </c>
      <c r="X208" s="1056">
        <f t="shared" si="68"/>
        <v>94.52777777779379</v>
      </c>
      <c r="Y208" s="1056">
        <f t="shared" si="68"/>
        <v>100.2222222222051</v>
      </c>
      <c r="Z208" s="1057">
        <f t="shared" si="68"/>
        <v>79.72222222221032</v>
      </c>
      <c r="AA208" s="1057">
        <f t="shared" si="68"/>
        <v>88.83333333337717</v>
      </c>
      <c r="AB208" s="1057">
        <f t="shared" si="68"/>
        <v>94.52777777779379</v>
      </c>
      <c r="AC208" s="1058">
        <f t="shared" si="68"/>
        <v>74.02777777778779</v>
      </c>
      <c r="AD208" s="1058">
        <f t="shared" si="68"/>
        <v>83.13888888883974</v>
      </c>
      <c r="AE208" s="1058">
        <f t="shared" si="68"/>
        <v>88.83333333337717</v>
      </c>
      <c r="AF208" s="1059">
        <f t="shared" si="60"/>
        <v>68.33333333335648</v>
      </c>
      <c r="AG208" s="1059">
        <f t="shared" si="60"/>
        <v>77.44444444442202</v>
      </c>
      <c r="AH208" s="1059">
        <f t="shared" si="60"/>
        <v>83.13888888883974</v>
      </c>
      <c r="AI208" s="1060">
        <f t="shared" si="60"/>
        <v>62.638888888874746</v>
      </c>
      <c r="AJ208" s="1060">
        <f t="shared" si="60"/>
        <v>71.75</v>
      </c>
      <c r="AK208" s="1060">
        <f t="shared" si="60"/>
        <v>77.44444444442202</v>
      </c>
    </row>
    <row r="209" spans="8:8" ht="15.75" customHeight="1">
      <c r="D209" s="1049">
        <f t="shared" si="66"/>
        <v>0.5722222222222607</v>
      </c>
      <c r="E209" s="1050">
        <f t="shared" si="64"/>
        <v>163.65555555556656</v>
      </c>
      <c r="F209" s="1050">
        <f t="shared" si="65"/>
        <v>172.81111111112273</v>
      </c>
      <c r="G209" s="1050">
        <f t="shared" si="65"/>
        <v>178.53333333334535</v>
      </c>
      <c r="H209" s="1051">
        <f t="shared" si="63"/>
        <v>152.2111111110941</v>
      </c>
      <c r="I209" s="1051">
        <f t="shared" si="63"/>
        <v>161.36666666671766</v>
      </c>
      <c r="J209" s="1051">
        <f t="shared" si="63"/>
        <v>167.0888888889059</v>
      </c>
      <c r="K209" s="1052">
        <f t="shared" si="63"/>
        <v>140.76666666671767</v>
      </c>
      <c r="L209" s="1052">
        <f t="shared" si="63"/>
        <v>149.92222222218822</v>
      </c>
      <c r="M209" s="1052">
        <f t="shared" si="63"/>
        <v>155.64444444438544</v>
      </c>
      <c r="N209" s="1053">
        <f t="shared" si="63"/>
        <v>103.0</v>
      </c>
      <c r="O209" s="1053">
        <f t="shared" si="63"/>
        <v>112.15555555562356</v>
      </c>
      <c r="P209" s="1053">
        <f t="shared" si="63"/>
        <v>117.87777777781177</v>
      </c>
      <c r="Q209" s="1054">
        <f t="shared" si="63"/>
        <v>97.27777777781077</v>
      </c>
      <c r="R209" s="1054">
        <f t="shared" si="67"/>
        <v>106.43333333328233</v>
      </c>
      <c r="S209" s="1054">
        <f t="shared" si="67"/>
        <v>112.15555555562356</v>
      </c>
      <c r="T209" s="1055">
        <f t="shared" si="67"/>
        <v>91.55555555561635</v>
      </c>
      <c r="U209" s="1055">
        <f t="shared" si="68"/>
        <v>100.71111111109411</v>
      </c>
      <c r="V209" s="1055">
        <f t="shared" si="68"/>
        <v>106.43333333328233</v>
      </c>
      <c r="W209" s="1056">
        <f t="shared" si="68"/>
        <v>85.83333333329253</v>
      </c>
      <c r="X209" s="1056">
        <f t="shared" si="68"/>
        <v>94.9888888889049</v>
      </c>
      <c r="Y209" s="1056">
        <f t="shared" si="68"/>
        <v>100.71111111109411</v>
      </c>
      <c r="Z209" s="1057">
        <f t="shared" si="68"/>
        <v>80.11111111109922</v>
      </c>
      <c r="AA209" s="1057">
        <f t="shared" si="68"/>
        <v>89.26666666671046</v>
      </c>
      <c r="AB209" s="1057">
        <f t="shared" si="68"/>
        <v>94.9888888889049</v>
      </c>
      <c r="AC209" s="1058">
        <f t="shared" si="68"/>
        <v>74.38888888889889</v>
      </c>
      <c r="AD209" s="1058">
        <f t="shared" si="68"/>
        <v>83.54444444439525</v>
      </c>
      <c r="AE209" s="1058">
        <f t="shared" si="68"/>
        <v>89.26666666671046</v>
      </c>
      <c r="AF209" s="1059">
        <f t="shared" si="60"/>
        <v>68.66666666668978</v>
      </c>
      <c r="AG209" s="1059">
        <f t="shared" si="60"/>
        <v>77.82222222219983</v>
      </c>
      <c r="AH209" s="1059">
        <f t="shared" si="60"/>
        <v>83.54444444439525</v>
      </c>
      <c r="AI209" s="1060">
        <f t="shared" si="60"/>
        <v>62.944444444430346</v>
      </c>
      <c r="AJ209" s="1060">
        <f t="shared" si="60"/>
        <v>72.10000000000001</v>
      </c>
      <c r="AK209" s="1060">
        <f t="shared" si="60"/>
        <v>77.82222222219983</v>
      </c>
    </row>
    <row r="210" spans="8:8" ht="15.75" customHeight="1">
      <c r="D210" s="1049">
        <f t="shared" si="66"/>
        <v>0.5750000000000388</v>
      </c>
      <c r="E210" s="1050">
        <f t="shared" si="64"/>
        <v>164.4500000000111</v>
      </c>
      <c r="F210" s="1050">
        <f t="shared" si="65"/>
        <v>173.65000000001172</v>
      </c>
      <c r="G210" s="1050">
        <f t="shared" si="65"/>
        <v>179.4000000000121</v>
      </c>
      <c r="H210" s="1051">
        <f t="shared" si="63"/>
        <v>152.9499999999831</v>
      </c>
      <c r="I210" s="1051">
        <f t="shared" si="63"/>
        <v>162.15000000005068</v>
      </c>
      <c r="J210" s="1051">
        <f t="shared" si="63"/>
        <v>167.9000000000169</v>
      </c>
      <c r="K210" s="1052">
        <f t="shared" si="63"/>
        <v>141.45000000005066</v>
      </c>
      <c r="L210" s="1052">
        <f t="shared" si="63"/>
        <v>150.6499999999662</v>
      </c>
      <c r="M210" s="1052">
        <f t="shared" si="63"/>
        <v>156.39999999994143</v>
      </c>
      <c r="N210" s="1053">
        <f t="shared" si="63"/>
        <v>103.5</v>
      </c>
      <c r="O210" s="1053">
        <f t="shared" si="63"/>
        <v>112.70000000006756</v>
      </c>
      <c r="P210" s="1053">
        <f t="shared" si="63"/>
        <v>118.45000000003378</v>
      </c>
      <c r="Q210" s="1054">
        <f t="shared" si="63"/>
        <v>97.75000000003297</v>
      </c>
      <c r="R210" s="1054">
        <f t="shared" si="67"/>
        <v>106.94999999994934</v>
      </c>
      <c r="S210" s="1054">
        <f t="shared" si="67"/>
        <v>112.70000000006756</v>
      </c>
      <c r="T210" s="1055">
        <f t="shared" si="67"/>
        <v>92.00000000006075</v>
      </c>
      <c r="U210" s="1055">
        <f t="shared" si="68"/>
        <v>101.1999999999831</v>
      </c>
      <c r="V210" s="1055">
        <f t="shared" si="68"/>
        <v>106.94999999994934</v>
      </c>
      <c r="W210" s="1056">
        <f t="shared" si="68"/>
        <v>86.24999999995923</v>
      </c>
      <c r="X210" s="1056">
        <f t="shared" si="68"/>
        <v>95.45000000001599</v>
      </c>
      <c r="Y210" s="1056">
        <f t="shared" si="68"/>
        <v>101.1999999999831</v>
      </c>
      <c r="Z210" s="1057">
        <f t="shared" si="68"/>
        <v>80.49999999998812</v>
      </c>
      <c r="AA210" s="1057">
        <f t="shared" si="68"/>
        <v>89.70000000004376</v>
      </c>
      <c r="AB210" s="1057">
        <f t="shared" si="68"/>
        <v>95.45000000001599</v>
      </c>
      <c r="AC210" s="1058">
        <f t="shared" si="68"/>
        <v>74.75000000000999</v>
      </c>
      <c r="AD210" s="1058">
        <f t="shared" si="68"/>
        <v>83.94999999995075</v>
      </c>
      <c r="AE210" s="1058">
        <f t="shared" si="68"/>
        <v>89.70000000004376</v>
      </c>
      <c r="AF210" s="1059">
        <f t="shared" si="60"/>
        <v>69.00000000002308</v>
      </c>
      <c r="AG210" s="1059">
        <f t="shared" si="60"/>
        <v>78.19999999997762</v>
      </c>
      <c r="AH210" s="1059">
        <f t="shared" si="60"/>
        <v>83.94999999995075</v>
      </c>
      <c r="AI210" s="1060">
        <f t="shared" si="60"/>
        <v>63.249999999985945</v>
      </c>
      <c r="AJ210" s="1060">
        <f t="shared" si="60"/>
        <v>72.45</v>
      </c>
      <c r="AK210" s="1060">
        <f t="shared" si="60"/>
        <v>78.19999999997762</v>
      </c>
    </row>
    <row r="211" spans="8:8" ht="15.75" customHeight="1">
      <c r="D211" s="1049">
        <f t="shared" si="66"/>
        <v>0.5777777777778168</v>
      </c>
      <c r="E211" s="1050">
        <f t="shared" si="64"/>
        <v>165.2444444444556</v>
      </c>
      <c r="F211" s="1050">
        <f t="shared" si="65"/>
        <v>174.48888888890068</v>
      </c>
      <c r="G211" s="1050">
        <f t="shared" si="65"/>
        <v>180.26666666667884</v>
      </c>
      <c r="H211" s="1051">
        <f t="shared" si="63"/>
        <v>153.68888888887213</v>
      </c>
      <c r="I211" s="1051">
        <f t="shared" si="63"/>
        <v>162.93333333338367</v>
      </c>
      <c r="J211" s="1051">
        <f t="shared" si="63"/>
        <v>168.7111111111279</v>
      </c>
      <c r="K211" s="1052">
        <f t="shared" si="63"/>
        <v>142.13333333338366</v>
      </c>
      <c r="L211" s="1052">
        <f t="shared" si="63"/>
        <v>151.3777777777442</v>
      </c>
      <c r="M211" s="1052">
        <f t="shared" si="63"/>
        <v>157.15555555549744</v>
      </c>
      <c r="N211" s="1053">
        <f t="shared" si="63"/>
        <v>104.0</v>
      </c>
      <c r="O211" s="1053">
        <f t="shared" si="63"/>
        <v>113.24444444451156</v>
      </c>
      <c r="P211" s="1053">
        <f t="shared" si="63"/>
        <v>119.02222222225578</v>
      </c>
      <c r="Q211" s="1054">
        <f t="shared" si="63"/>
        <v>98.22222222225517</v>
      </c>
      <c r="R211" s="1054">
        <f t="shared" si="67"/>
        <v>107.46666666661633</v>
      </c>
      <c r="S211" s="1054">
        <f t="shared" si="67"/>
        <v>113.24444444451156</v>
      </c>
      <c r="T211" s="1055">
        <f t="shared" si="67"/>
        <v>92.44444444450515</v>
      </c>
      <c r="U211" s="1055">
        <f t="shared" si="68"/>
        <v>101.6888888888721</v>
      </c>
      <c r="V211" s="1055">
        <f t="shared" si="68"/>
        <v>107.46666666661633</v>
      </c>
      <c r="W211" s="1056">
        <f t="shared" si="68"/>
        <v>86.66666666662593</v>
      </c>
      <c r="X211" s="1056">
        <f t="shared" si="68"/>
        <v>95.91111111112708</v>
      </c>
      <c r="Y211" s="1056">
        <f t="shared" si="68"/>
        <v>101.6888888888721</v>
      </c>
      <c r="Z211" s="1057">
        <f t="shared" si="68"/>
        <v>80.88888888887702</v>
      </c>
      <c r="AA211" s="1057">
        <f t="shared" si="68"/>
        <v>90.13333333337707</v>
      </c>
      <c r="AB211" s="1057">
        <f t="shared" si="68"/>
        <v>95.91111111112708</v>
      </c>
      <c r="AC211" s="1058">
        <f t="shared" si="68"/>
        <v>75.11111111112109</v>
      </c>
      <c r="AD211" s="1058">
        <f t="shared" si="68"/>
        <v>84.35555555550634</v>
      </c>
      <c r="AE211" s="1058">
        <f t="shared" si="68"/>
        <v>90.13333333337707</v>
      </c>
      <c r="AF211" s="1059">
        <f t="shared" si="60"/>
        <v>69.33333333335636</v>
      </c>
      <c r="AG211" s="1059">
        <f t="shared" si="60"/>
        <v>78.57777777775541</v>
      </c>
      <c r="AH211" s="1059">
        <f t="shared" si="60"/>
        <v>84.35555555550634</v>
      </c>
      <c r="AI211" s="1060">
        <f t="shared" si="60"/>
        <v>63.555555555541545</v>
      </c>
      <c r="AJ211" s="1060">
        <f t="shared" si="60"/>
        <v>72.80000000000001</v>
      </c>
      <c r="AK211" s="1060">
        <f t="shared" si="60"/>
        <v>78.57777777775541</v>
      </c>
    </row>
    <row r="212" spans="8:8" ht="15.75" customHeight="1">
      <c r="D212" s="1049">
        <f t="shared" si="66"/>
        <v>0.5805555555555948</v>
      </c>
      <c r="E212" s="1050">
        <f t="shared" si="64"/>
        <v>166.03888888890012</v>
      </c>
      <c r="F212" s="1050">
        <f t="shared" si="65"/>
        <v>175.32777777778963</v>
      </c>
      <c r="G212" s="1050">
        <f t="shared" si="65"/>
        <v>181.13333333334558</v>
      </c>
      <c r="H212" s="1051">
        <f t="shared" si="63"/>
        <v>154.42777777776112</v>
      </c>
      <c r="I212" s="1051">
        <f t="shared" si="63"/>
        <v>163.71666666671666</v>
      </c>
      <c r="J212" s="1051">
        <f t="shared" si="63"/>
        <v>169.5222222222389</v>
      </c>
      <c r="K212" s="1052">
        <f t="shared" si="63"/>
        <v>142.81666666671666</v>
      </c>
      <c r="L212" s="1052">
        <f t="shared" si="63"/>
        <v>152.10555555552222</v>
      </c>
      <c r="M212" s="1052">
        <f t="shared" si="63"/>
        <v>157.91111111105343</v>
      </c>
      <c r="N212" s="1053">
        <f t="shared" si="63"/>
        <v>104.5</v>
      </c>
      <c r="O212" s="1053">
        <f t="shared" si="63"/>
        <v>113.78888888895557</v>
      </c>
      <c r="P212" s="1053">
        <f t="shared" si="63"/>
        <v>119.59444444447777</v>
      </c>
      <c r="Q212" s="1054">
        <f t="shared" si="63"/>
        <v>98.69444444447737</v>
      </c>
      <c r="R212" s="1054">
        <f t="shared" si="67"/>
        <v>107.98333333328334</v>
      </c>
      <c r="S212" s="1054">
        <f t="shared" si="67"/>
        <v>113.78888888895557</v>
      </c>
      <c r="T212" s="1055">
        <f t="shared" si="67"/>
        <v>92.88888888894955</v>
      </c>
      <c r="U212" s="1055">
        <f t="shared" si="68"/>
        <v>102.17777777776111</v>
      </c>
      <c r="V212" s="1055">
        <f t="shared" si="68"/>
        <v>107.98333333328334</v>
      </c>
      <c r="W212" s="1056">
        <f t="shared" si="68"/>
        <v>87.08333333329263</v>
      </c>
      <c r="X212" s="1056">
        <f t="shared" si="68"/>
        <v>96.3722222222382</v>
      </c>
      <c r="Y212" s="1056">
        <f t="shared" si="68"/>
        <v>102.17777777776111</v>
      </c>
      <c r="Z212" s="1057">
        <f t="shared" si="68"/>
        <v>81.27777777776592</v>
      </c>
      <c r="AA212" s="1057">
        <f t="shared" si="68"/>
        <v>90.56666666671036</v>
      </c>
      <c r="AB212" s="1057">
        <f t="shared" si="68"/>
        <v>96.3722222222382</v>
      </c>
      <c r="AC212" s="1058">
        <f t="shared" si="68"/>
        <v>75.47222222223219</v>
      </c>
      <c r="AD212" s="1058">
        <f t="shared" si="68"/>
        <v>84.76111111106185</v>
      </c>
      <c r="AE212" s="1058">
        <f t="shared" si="68"/>
        <v>90.56666666671036</v>
      </c>
      <c r="AF212" s="1059">
        <f t="shared" si="60"/>
        <v>69.66666666668966</v>
      </c>
      <c r="AG212" s="1059">
        <f t="shared" si="60"/>
        <v>78.95555555553322</v>
      </c>
      <c r="AH212" s="1059">
        <f t="shared" si="60"/>
        <v>84.76111111106185</v>
      </c>
      <c r="AI212" s="1060">
        <f t="shared" si="60"/>
        <v>63.861111111097145</v>
      </c>
      <c r="AJ212" s="1060">
        <f t="shared" si="60"/>
        <v>73.15</v>
      </c>
      <c r="AK212" s="1060">
        <f t="shared" si="60"/>
        <v>78.95555555553322</v>
      </c>
    </row>
    <row r="213" spans="8:8" ht="15.75" customHeight="1">
      <c r="D213" s="1049">
        <f t="shared" si="66"/>
        <v>0.5833333333333728</v>
      </c>
      <c r="E213" s="1050">
        <f t="shared" si="64"/>
        <v>166.83333333334463</v>
      </c>
      <c r="F213" s="1050">
        <f t="shared" si="65"/>
        <v>176.1666666666786</v>
      </c>
      <c r="G213" s="1050">
        <f t="shared" si="65"/>
        <v>182.0000000000123</v>
      </c>
      <c r="H213" s="1051">
        <f t="shared" si="63"/>
        <v>155.16666666665012</v>
      </c>
      <c r="I213" s="1051">
        <f t="shared" si="63"/>
        <v>164.50000000004968</v>
      </c>
      <c r="J213" s="1051">
        <f t="shared" si="63"/>
        <v>170.33333333334988</v>
      </c>
      <c r="K213" s="1052">
        <f t="shared" si="63"/>
        <v>143.50000000004965</v>
      </c>
      <c r="L213" s="1052">
        <f t="shared" si="63"/>
        <v>152.8333333333002</v>
      </c>
      <c r="M213" s="1052">
        <f t="shared" si="63"/>
        <v>158.66666666660944</v>
      </c>
      <c r="N213" s="1053">
        <f t="shared" si="63"/>
        <v>105.0</v>
      </c>
      <c r="O213" s="1053">
        <f t="shared" si="63"/>
        <v>114.33333333339957</v>
      </c>
      <c r="P213" s="1053">
        <f t="shared" si="63"/>
        <v>120.16666666669978</v>
      </c>
      <c r="Q213" s="1054">
        <f t="shared" si="63"/>
        <v>99.16666666669957</v>
      </c>
      <c r="R213" s="1054">
        <f t="shared" si="67"/>
        <v>108.49999999995033</v>
      </c>
      <c r="S213" s="1054">
        <f t="shared" si="67"/>
        <v>114.33333333339957</v>
      </c>
      <c r="T213" s="1055">
        <f t="shared" si="67"/>
        <v>93.33333333339395</v>
      </c>
      <c r="U213" s="1055">
        <f t="shared" si="68"/>
        <v>102.6666666666501</v>
      </c>
      <c r="V213" s="1055">
        <f t="shared" si="68"/>
        <v>108.49999999995033</v>
      </c>
      <c r="W213" s="1056">
        <f t="shared" si="68"/>
        <v>87.49999999995933</v>
      </c>
      <c r="X213" s="1056">
        <f t="shared" si="68"/>
        <v>96.83333333334929</v>
      </c>
      <c r="Y213" s="1056">
        <f t="shared" si="68"/>
        <v>102.6666666666501</v>
      </c>
      <c r="Z213" s="1057">
        <f t="shared" si="68"/>
        <v>81.66666666665482</v>
      </c>
      <c r="AA213" s="1057">
        <f t="shared" si="68"/>
        <v>91.00000000004367</v>
      </c>
      <c r="AB213" s="1057">
        <f t="shared" si="68"/>
        <v>96.83333333334929</v>
      </c>
      <c r="AC213" s="1058">
        <f t="shared" si="68"/>
        <v>75.83333333334329</v>
      </c>
      <c r="AD213" s="1058">
        <f t="shared" si="68"/>
        <v>85.16666666661735</v>
      </c>
      <c r="AE213" s="1058">
        <f t="shared" si="68"/>
        <v>91.00000000004367</v>
      </c>
      <c r="AF213" s="1059">
        <f t="shared" si="60"/>
        <v>70.00000000002296</v>
      </c>
      <c r="AG213" s="1059">
        <f t="shared" si="60"/>
        <v>79.33333333331102</v>
      </c>
      <c r="AH213" s="1059">
        <f t="shared" si="60"/>
        <v>85.16666666661735</v>
      </c>
      <c r="AI213" s="1060">
        <f t="shared" si="60"/>
        <v>64.16666666665274</v>
      </c>
      <c r="AJ213" s="1060">
        <f t="shared" si="60"/>
        <v>73.5</v>
      </c>
      <c r="AK213" s="1060">
        <f t="shared" si="60"/>
        <v>79.33333333331102</v>
      </c>
    </row>
    <row r="214" spans="8:8" ht="15.75" customHeight="1">
      <c r="D214" s="1049">
        <f t="shared" si="66"/>
        <v>0.5861111111111508</v>
      </c>
      <c r="E214" s="1050">
        <f t="shared" si="64"/>
        <v>167.62777777778913</v>
      </c>
      <c r="F214" s="1050">
        <f t="shared" si="65"/>
        <v>177.00555555556753</v>
      </c>
      <c r="G214" s="1050">
        <f t="shared" si="65"/>
        <v>182.86666666667904</v>
      </c>
      <c r="H214" s="1051">
        <f t="shared" si="69" ref="H214:Q233">H215-(H$363/360)</f>
        <v>155.9055555555391</v>
      </c>
      <c r="I214" s="1051">
        <f t="shared" si="63"/>
        <v>165.28333333338267</v>
      </c>
      <c r="J214" s="1051">
        <f t="shared" si="63"/>
        <v>171.1444444444609</v>
      </c>
      <c r="K214" s="1052">
        <f t="shared" si="69"/>
        <v>144.18333333338265</v>
      </c>
      <c r="L214" s="1052">
        <f t="shared" si="69"/>
        <v>153.56111111107822</v>
      </c>
      <c r="M214" s="1052">
        <f t="shared" si="69"/>
        <v>159.42222222216543</v>
      </c>
      <c r="N214" s="1053">
        <f t="shared" si="69"/>
        <v>105.5</v>
      </c>
      <c r="O214" s="1053">
        <f t="shared" si="69"/>
        <v>114.87777777784356</v>
      </c>
      <c r="P214" s="1053">
        <f t="shared" si="69"/>
        <v>120.73888888892178</v>
      </c>
      <c r="Q214" s="1054">
        <f t="shared" si="69"/>
        <v>99.63888888892177</v>
      </c>
      <c r="R214" s="1054">
        <f t="shared" si="67"/>
        <v>109.01666666661734</v>
      </c>
      <c r="S214" s="1054">
        <f t="shared" si="67"/>
        <v>114.87777777784356</v>
      </c>
      <c r="T214" s="1055">
        <f t="shared" si="70" ref="T214:AG244">T215-(T$363/360)</f>
        <v>93.77777777783835</v>
      </c>
      <c r="U214" s="1055">
        <f t="shared" si="68"/>
        <v>103.15555555553911</v>
      </c>
      <c r="V214" s="1055">
        <f t="shared" si="68"/>
        <v>109.01666666661734</v>
      </c>
      <c r="W214" s="1056">
        <f t="shared" si="68"/>
        <v>87.91666666662603</v>
      </c>
      <c r="X214" s="1056">
        <f t="shared" si="68"/>
        <v>97.2944444444604</v>
      </c>
      <c r="Y214" s="1056">
        <f t="shared" si="68"/>
        <v>103.15555555553911</v>
      </c>
      <c r="Z214" s="1057">
        <f t="shared" si="68"/>
        <v>82.05555555554372</v>
      </c>
      <c r="AA214" s="1057">
        <f t="shared" si="68"/>
        <v>91.43333333337696</v>
      </c>
      <c r="AB214" s="1057">
        <f t="shared" si="68"/>
        <v>97.2944444444604</v>
      </c>
      <c r="AC214" s="1058">
        <f t="shared" si="68"/>
        <v>76.19444444445439</v>
      </c>
      <c r="AD214" s="1058">
        <f t="shared" si="68"/>
        <v>85.57222222217285</v>
      </c>
      <c r="AE214" s="1058">
        <f t="shared" si="68"/>
        <v>91.43333333337696</v>
      </c>
      <c r="AF214" s="1059">
        <f t="shared" si="60"/>
        <v>70.33333333335626</v>
      </c>
      <c r="AG214" s="1059">
        <f t="shared" si="60"/>
        <v>79.71111111108883</v>
      </c>
      <c r="AH214" s="1059">
        <f t="shared" si="60"/>
        <v>85.57222222217285</v>
      </c>
      <c r="AI214" s="1060">
        <f t="shared" si="60"/>
        <v>64.47222222220825</v>
      </c>
      <c r="AJ214" s="1060">
        <f t="shared" si="60"/>
        <v>73.85000000000001</v>
      </c>
      <c r="AK214" s="1060">
        <f t="shared" si="60"/>
        <v>79.71111111108883</v>
      </c>
    </row>
    <row r="215" spans="8:8" ht="15.75" customHeight="1">
      <c r="D215" s="1049">
        <f t="shared" si="66"/>
        <v>0.5888888888889288</v>
      </c>
      <c r="E215" s="1050">
        <f t="shared" si="64"/>
        <v>168.42222222223361</v>
      </c>
      <c r="F215" s="1050">
        <f t="shared" si="65"/>
        <v>177.84444444445649</v>
      </c>
      <c r="G215" s="1050">
        <f t="shared" si="65"/>
        <v>183.73333333334577</v>
      </c>
      <c r="H215" s="1051">
        <f t="shared" si="69"/>
        <v>156.64444444442813</v>
      </c>
      <c r="I215" s="1051">
        <f t="shared" si="69"/>
        <v>166.06666666671566</v>
      </c>
      <c r="J215" s="1051">
        <f t="shared" si="69"/>
        <v>171.9555555555719</v>
      </c>
      <c r="K215" s="1052">
        <f t="shared" si="69"/>
        <v>144.86666666671567</v>
      </c>
      <c r="L215" s="1052">
        <f t="shared" si="69"/>
        <v>154.2888888888562</v>
      </c>
      <c r="M215" s="1052">
        <f t="shared" si="69"/>
        <v>160.17777777772145</v>
      </c>
      <c r="N215" s="1053">
        <f t="shared" si="69"/>
        <v>106.0</v>
      </c>
      <c r="O215" s="1053">
        <f t="shared" si="69"/>
        <v>115.42222222228756</v>
      </c>
      <c r="P215" s="1053">
        <f t="shared" si="69"/>
        <v>121.31111111114377</v>
      </c>
      <c r="Q215" s="1054">
        <f t="shared" si="69"/>
        <v>100.11111111114377</v>
      </c>
      <c r="R215" s="1054">
        <f t="shared" si="71" ref="R215:S231">R216-(R$363/360)</f>
        <v>109.53333333328433</v>
      </c>
      <c r="S215" s="1054">
        <f t="shared" si="71"/>
        <v>115.42222222228756</v>
      </c>
      <c r="T215" s="1055">
        <f t="shared" si="70"/>
        <v>94.22222222228275</v>
      </c>
      <c r="U215" s="1055">
        <f t="shared" si="68"/>
        <v>103.6444444444281</v>
      </c>
      <c r="V215" s="1055">
        <f t="shared" si="68"/>
        <v>109.53333333328433</v>
      </c>
      <c r="W215" s="1056">
        <f t="shared" si="68"/>
        <v>88.33333333329273</v>
      </c>
      <c r="X215" s="1056">
        <f t="shared" si="68"/>
        <v>97.75555555557149</v>
      </c>
      <c r="Y215" s="1056">
        <f t="shared" si="68"/>
        <v>103.6444444444281</v>
      </c>
      <c r="Z215" s="1057">
        <f t="shared" si="68"/>
        <v>82.44444444443262</v>
      </c>
      <c r="AA215" s="1057">
        <f t="shared" si="68"/>
        <v>91.86666666671026</v>
      </c>
      <c r="AB215" s="1057">
        <f t="shared" si="68"/>
        <v>97.75555555557149</v>
      </c>
      <c r="AC215" s="1058">
        <f t="shared" si="68"/>
        <v>76.55555555556549</v>
      </c>
      <c r="AD215" s="1058">
        <f t="shared" si="68"/>
        <v>85.97777777772835</v>
      </c>
      <c r="AE215" s="1058">
        <f t="shared" si="68"/>
        <v>91.86666666671026</v>
      </c>
      <c r="AF215" s="1059">
        <f t="shared" si="68"/>
        <v>70.66666666668957</v>
      </c>
      <c r="AG215" s="1059">
        <f t="shared" si="68"/>
        <v>80.08888888886662</v>
      </c>
      <c r="AH215" s="1059">
        <f t="shared" si="60"/>
        <v>85.97777777772835</v>
      </c>
      <c r="AI215" s="1060">
        <f t="shared" si="60"/>
        <v>64.77777777776384</v>
      </c>
      <c r="AJ215" s="1060">
        <f t="shared" si="60"/>
        <v>74.2</v>
      </c>
      <c r="AK215" s="1060">
        <f t="shared" si="60"/>
        <v>80.08888888886662</v>
      </c>
    </row>
    <row r="216" spans="8:8" ht="15.75" customHeight="1">
      <c r="D216" s="1049">
        <f t="shared" si="66"/>
        <v>0.5916666666667068</v>
      </c>
      <c r="E216" s="1050">
        <f t="shared" si="64"/>
        <v>169.21666666667812</v>
      </c>
      <c r="F216" s="1050">
        <f t="shared" si="65"/>
        <v>178.68333333334544</v>
      </c>
      <c r="G216" s="1050">
        <f t="shared" si="65"/>
        <v>184.6000000000125</v>
      </c>
      <c r="H216" s="1051">
        <f t="shared" si="69"/>
        <v>157.38333333331713</v>
      </c>
      <c r="I216" s="1051">
        <f t="shared" si="69"/>
        <v>166.85000000004868</v>
      </c>
      <c r="J216" s="1051">
        <f t="shared" si="69"/>
        <v>172.7666666666829</v>
      </c>
      <c r="K216" s="1052">
        <f t="shared" si="69"/>
        <v>145.55000000004867</v>
      </c>
      <c r="L216" s="1052">
        <f t="shared" si="69"/>
        <v>155.01666666663422</v>
      </c>
      <c r="M216" s="1052">
        <f t="shared" si="69"/>
        <v>160.93333333327743</v>
      </c>
      <c r="N216" s="1053">
        <f t="shared" si="69"/>
        <v>106.5</v>
      </c>
      <c r="O216" s="1053">
        <f t="shared" si="69"/>
        <v>115.96666666673157</v>
      </c>
      <c r="P216" s="1053">
        <f t="shared" si="69"/>
        <v>121.88333333336578</v>
      </c>
      <c r="Q216" s="1054">
        <f t="shared" si="69"/>
        <v>100.58333333336577</v>
      </c>
      <c r="R216" s="1054">
        <f t="shared" si="71"/>
        <v>110.04999999995134</v>
      </c>
      <c r="S216" s="1054">
        <f t="shared" si="71"/>
        <v>115.96666666673157</v>
      </c>
      <c r="T216" s="1055">
        <f t="shared" si="70"/>
        <v>94.66666666672715</v>
      </c>
      <c r="U216" s="1055">
        <f t="shared" si="68"/>
        <v>104.13333333331711</v>
      </c>
      <c r="V216" s="1055">
        <f t="shared" si="68"/>
        <v>110.04999999995134</v>
      </c>
      <c r="W216" s="1056">
        <f t="shared" si="68"/>
        <v>88.74999999995943</v>
      </c>
      <c r="X216" s="1056">
        <f t="shared" si="68"/>
        <v>98.21666666668258</v>
      </c>
      <c r="Y216" s="1056">
        <f t="shared" si="68"/>
        <v>104.13333333331711</v>
      </c>
      <c r="Z216" s="1057">
        <f t="shared" si="68"/>
        <v>82.83333333332152</v>
      </c>
      <c r="AA216" s="1057">
        <f t="shared" si="68"/>
        <v>92.30000000004357</v>
      </c>
      <c r="AB216" s="1057">
        <f t="shared" si="68"/>
        <v>98.21666666668258</v>
      </c>
      <c r="AC216" s="1058">
        <f t="shared" si="68"/>
        <v>76.91666666667659</v>
      </c>
      <c r="AD216" s="1058">
        <f t="shared" si="68"/>
        <v>86.38333333328394</v>
      </c>
      <c r="AE216" s="1058">
        <f t="shared" si="68"/>
        <v>92.30000000004357</v>
      </c>
      <c r="AF216" s="1059">
        <f t="shared" si="68"/>
        <v>71.00000000002287</v>
      </c>
      <c r="AG216" s="1059">
        <f t="shared" si="68"/>
        <v>80.46666666664441</v>
      </c>
      <c r="AH216" s="1059">
        <f t="shared" si="60"/>
        <v>86.38333333328394</v>
      </c>
      <c r="AI216" s="1060">
        <f t="shared" si="60"/>
        <v>65.08333333331935</v>
      </c>
      <c r="AJ216" s="1060">
        <f t="shared" si="60"/>
        <v>74.55000000000001</v>
      </c>
      <c r="AK216" s="1060">
        <f t="shared" si="60"/>
        <v>80.46666666664441</v>
      </c>
    </row>
    <row r="217" spans="8:8" ht="15.75" customHeight="1">
      <c r="D217" s="1049">
        <f t="shared" si="66"/>
        <v>0.5944444444444847</v>
      </c>
      <c r="E217" s="1050">
        <f t="shared" si="64"/>
        <v>170.01111111112263</v>
      </c>
      <c r="F217" s="1050">
        <f t="shared" si="65"/>
        <v>179.5222222222344</v>
      </c>
      <c r="G217" s="1050">
        <f t="shared" si="65"/>
        <v>185.46666666667923</v>
      </c>
      <c r="H217" s="1051">
        <f t="shared" si="69"/>
        <v>158.12222222220612</v>
      </c>
      <c r="I217" s="1051">
        <f t="shared" si="69"/>
        <v>167.63333333338167</v>
      </c>
      <c r="J217" s="1051">
        <f t="shared" si="69"/>
        <v>173.5777777777939</v>
      </c>
      <c r="K217" s="1052">
        <f t="shared" si="69"/>
        <v>146.23333333338167</v>
      </c>
      <c r="L217" s="1052">
        <f t="shared" si="69"/>
        <v>155.7444444444122</v>
      </c>
      <c r="M217" s="1052">
        <f t="shared" si="69"/>
        <v>161.68888888883345</v>
      </c>
      <c r="N217" s="1053">
        <f t="shared" si="69"/>
        <v>107.0</v>
      </c>
      <c r="O217" s="1053">
        <f t="shared" si="69"/>
        <v>116.51111111117557</v>
      </c>
      <c r="P217" s="1053">
        <f t="shared" si="69"/>
        <v>122.45555555558778</v>
      </c>
      <c r="Q217" s="1054">
        <f t="shared" si="69"/>
        <v>101.05555555558777</v>
      </c>
      <c r="R217" s="1054">
        <f t="shared" si="71"/>
        <v>110.56666666661833</v>
      </c>
      <c r="S217" s="1054">
        <f t="shared" si="71"/>
        <v>116.51111111117557</v>
      </c>
      <c r="T217" s="1055">
        <f t="shared" si="70"/>
        <v>95.11111111117155</v>
      </c>
      <c r="U217" s="1055">
        <f t="shared" si="68"/>
        <v>104.6222222222061</v>
      </c>
      <c r="V217" s="1055">
        <f t="shared" si="68"/>
        <v>110.56666666661833</v>
      </c>
      <c r="W217" s="1056">
        <f t="shared" si="68"/>
        <v>89.16666666662613</v>
      </c>
      <c r="X217" s="1056">
        <f t="shared" si="68"/>
        <v>98.6777777777937</v>
      </c>
      <c r="Y217" s="1056">
        <f t="shared" si="68"/>
        <v>104.6222222222061</v>
      </c>
      <c r="Z217" s="1057">
        <f t="shared" si="68"/>
        <v>83.22222222221042</v>
      </c>
      <c r="AA217" s="1057">
        <f t="shared" si="68"/>
        <v>92.73333333337686</v>
      </c>
      <c r="AB217" s="1057">
        <f t="shared" si="68"/>
        <v>98.6777777777937</v>
      </c>
      <c r="AC217" s="1058">
        <f t="shared" si="68"/>
        <v>77.27777777778769</v>
      </c>
      <c r="AD217" s="1058">
        <f t="shared" si="68"/>
        <v>86.78888888883945</v>
      </c>
      <c r="AE217" s="1058">
        <f t="shared" si="68"/>
        <v>92.73333333337686</v>
      </c>
      <c r="AF217" s="1059">
        <f t="shared" si="68"/>
        <v>71.33333333335617</v>
      </c>
      <c r="AG217" s="1059">
        <f t="shared" si="68"/>
        <v>80.84444444442222</v>
      </c>
      <c r="AH217" s="1059">
        <f t="shared" si="68"/>
        <v>86.78888888883945</v>
      </c>
      <c r="AI217" s="1060">
        <f t="shared" si="68"/>
        <v>65.38888888887494</v>
      </c>
      <c r="AJ217" s="1060">
        <f t="shared" si="68"/>
        <v>74.9</v>
      </c>
      <c r="AK217" s="1060">
        <f t="shared" si="72" ref="AH217:AK271">AK218-(AK$363/360)</f>
        <v>80.84444444442222</v>
      </c>
    </row>
    <row r="218" spans="8:8" ht="15.75" customHeight="1">
      <c r="D218" s="1049">
        <f t="shared" si="66"/>
        <v>0.5972222222222627</v>
      </c>
      <c r="E218" s="1050">
        <f t="shared" si="64"/>
        <v>170.80555555556714</v>
      </c>
      <c r="F218" s="1050">
        <f t="shared" si="65"/>
        <v>180.36111111112334</v>
      </c>
      <c r="G218" s="1050">
        <f t="shared" si="65"/>
        <v>186.33333333334596</v>
      </c>
      <c r="H218" s="1051">
        <f t="shared" si="69"/>
        <v>158.8611111110951</v>
      </c>
      <c r="I218" s="1051">
        <f t="shared" si="69"/>
        <v>168.41666666671466</v>
      </c>
      <c r="J218" s="1051">
        <f t="shared" si="69"/>
        <v>174.3888888889049</v>
      </c>
      <c r="K218" s="1052">
        <f t="shared" si="69"/>
        <v>146.91666666671466</v>
      </c>
      <c r="L218" s="1052">
        <f t="shared" si="69"/>
        <v>156.47222222219023</v>
      </c>
      <c r="M218" s="1052">
        <f t="shared" si="69"/>
        <v>162.44444444438943</v>
      </c>
      <c r="N218" s="1053">
        <f t="shared" si="69"/>
        <v>107.5</v>
      </c>
      <c r="O218" s="1053">
        <f t="shared" si="69"/>
        <v>117.05555555561956</v>
      </c>
      <c r="P218" s="1053">
        <f t="shared" si="69"/>
        <v>123.02777777780977</v>
      </c>
      <c r="Q218" s="1054">
        <f t="shared" si="69"/>
        <v>101.52777777780977</v>
      </c>
      <c r="R218" s="1054">
        <f t="shared" si="71"/>
        <v>111.08333333328534</v>
      </c>
      <c r="S218" s="1054">
        <f t="shared" si="71"/>
        <v>117.05555555561956</v>
      </c>
      <c r="T218" s="1055">
        <f t="shared" si="70"/>
        <v>95.55555555561595</v>
      </c>
      <c r="U218" s="1055">
        <f t="shared" si="68"/>
        <v>105.11111111109511</v>
      </c>
      <c r="V218" s="1055">
        <f t="shared" si="68"/>
        <v>111.08333333328534</v>
      </c>
      <c r="W218" s="1056">
        <f t="shared" si="68"/>
        <v>89.58333333329283</v>
      </c>
      <c r="X218" s="1056">
        <f t="shared" si="68"/>
        <v>99.13888888890479</v>
      </c>
      <c r="Y218" s="1056">
        <f t="shared" si="68"/>
        <v>105.11111111109511</v>
      </c>
      <c r="Z218" s="1057">
        <f t="shared" si="68"/>
        <v>83.61111111109932</v>
      </c>
      <c r="AA218" s="1057">
        <f t="shared" si="68"/>
        <v>93.16666666671016</v>
      </c>
      <c r="AB218" s="1057">
        <f t="shared" si="68"/>
        <v>99.13888888890479</v>
      </c>
      <c r="AC218" s="1058">
        <f t="shared" si="68"/>
        <v>77.63888888889879</v>
      </c>
      <c r="AD218" s="1058">
        <f t="shared" si="68"/>
        <v>87.19444444439495</v>
      </c>
      <c r="AE218" s="1058">
        <f t="shared" si="68"/>
        <v>93.16666666671016</v>
      </c>
      <c r="AF218" s="1059">
        <f t="shared" si="68"/>
        <v>71.66666666668947</v>
      </c>
      <c r="AG218" s="1059">
        <f t="shared" si="68"/>
        <v>81.22222222220002</v>
      </c>
      <c r="AH218" s="1059">
        <f t="shared" si="72"/>
        <v>87.19444444439495</v>
      </c>
      <c r="AI218" s="1060">
        <f t="shared" si="72"/>
        <v>65.69444444443045</v>
      </c>
      <c r="AJ218" s="1060">
        <f t="shared" si="72"/>
        <v>75.25</v>
      </c>
      <c r="AK218" s="1060">
        <f t="shared" si="72"/>
        <v>81.22222222220002</v>
      </c>
    </row>
    <row r="219" spans="8:8" ht="15.75" customHeight="1">
      <c r="D219" s="1049">
        <f t="shared" si="66"/>
        <v>0.6000000000000407</v>
      </c>
      <c r="E219" s="1050">
        <f t="shared" si="64"/>
        <v>171.60000000001165</v>
      </c>
      <c r="F219" s="1050">
        <f t="shared" si="65"/>
        <v>181.2000000000123</v>
      </c>
      <c r="G219" s="1050">
        <f t="shared" si="65"/>
        <v>187.2000000000127</v>
      </c>
      <c r="H219" s="1051">
        <f t="shared" si="69"/>
        <v>159.5999999999841</v>
      </c>
      <c r="I219" s="1051">
        <f t="shared" si="69"/>
        <v>169.20000000004768</v>
      </c>
      <c r="J219" s="1051">
        <f t="shared" si="69"/>
        <v>175.2000000000159</v>
      </c>
      <c r="K219" s="1052">
        <f t="shared" si="69"/>
        <v>147.60000000004766</v>
      </c>
      <c r="L219" s="1052">
        <f t="shared" si="69"/>
        <v>157.1999999999682</v>
      </c>
      <c r="M219" s="1052">
        <f t="shared" si="69"/>
        <v>163.19999999994545</v>
      </c>
      <c r="N219" s="1053">
        <f t="shared" si="69"/>
        <v>108.0</v>
      </c>
      <c r="O219" s="1053">
        <f t="shared" si="69"/>
        <v>117.60000000006356</v>
      </c>
      <c r="P219" s="1053">
        <f t="shared" si="69"/>
        <v>123.60000000003178</v>
      </c>
      <c r="Q219" s="1054">
        <f t="shared" si="69"/>
        <v>102.00000000003178</v>
      </c>
      <c r="R219" s="1054">
        <f t="shared" si="71"/>
        <v>111.59999999995233</v>
      </c>
      <c r="S219" s="1054">
        <f t="shared" si="71"/>
        <v>117.60000000006356</v>
      </c>
      <c r="T219" s="1055">
        <f t="shared" si="70"/>
        <v>96.00000000006035</v>
      </c>
      <c r="U219" s="1055">
        <f t="shared" si="68"/>
        <v>105.5999999999841</v>
      </c>
      <c r="V219" s="1055">
        <f t="shared" si="68"/>
        <v>111.59999999995233</v>
      </c>
      <c r="W219" s="1056">
        <f t="shared" si="68"/>
        <v>89.99999999995953</v>
      </c>
      <c r="X219" s="1056">
        <f t="shared" si="68"/>
        <v>99.6000000000159</v>
      </c>
      <c r="Y219" s="1056">
        <f t="shared" si="68"/>
        <v>105.5999999999841</v>
      </c>
      <c r="Z219" s="1057">
        <f t="shared" si="68"/>
        <v>83.99999999998822</v>
      </c>
      <c r="AA219" s="1057">
        <f t="shared" si="68"/>
        <v>93.60000000004347</v>
      </c>
      <c r="AB219" s="1057">
        <f t="shared" si="68"/>
        <v>99.6000000000159</v>
      </c>
      <c r="AC219" s="1058">
        <f t="shared" si="68"/>
        <v>78.00000000000989</v>
      </c>
      <c r="AD219" s="1058">
        <f t="shared" si="68"/>
        <v>87.59999999995046</v>
      </c>
      <c r="AE219" s="1058">
        <f t="shared" si="68"/>
        <v>93.60000000004347</v>
      </c>
      <c r="AF219" s="1059">
        <f t="shared" si="68"/>
        <v>72.00000000002277</v>
      </c>
      <c r="AG219" s="1059">
        <f t="shared" si="68"/>
        <v>81.59999999997783</v>
      </c>
      <c r="AH219" s="1059">
        <f t="shared" si="72"/>
        <v>87.59999999995046</v>
      </c>
      <c r="AI219" s="1060">
        <f t="shared" si="72"/>
        <v>65.99999999998604</v>
      </c>
      <c r="AJ219" s="1060">
        <f t="shared" si="72"/>
        <v>75.60000000000001</v>
      </c>
      <c r="AK219" s="1060">
        <f t="shared" si="72"/>
        <v>81.59999999997783</v>
      </c>
    </row>
    <row r="220" spans="8:8" ht="15.75" customHeight="1">
      <c r="D220" s="1049">
        <f t="shared" si="66"/>
        <v>0.6027777777778187</v>
      </c>
      <c r="E220" s="1050">
        <f t="shared" si="64"/>
        <v>172.39444444445616</v>
      </c>
      <c r="F220" s="1050">
        <f t="shared" si="65"/>
        <v>182.03888888890125</v>
      </c>
      <c r="G220" s="1050">
        <f t="shared" si="65"/>
        <v>188.06666666667945</v>
      </c>
      <c r="H220" s="1051">
        <f t="shared" si="69"/>
        <v>160.33888888887313</v>
      </c>
      <c r="I220" s="1051">
        <f t="shared" si="69"/>
        <v>169.98333333338067</v>
      </c>
      <c r="J220" s="1051">
        <f t="shared" si="69"/>
        <v>176.0111111111269</v>
      </c>
      <c r="K220" s="1052">
        <f t="shared" si="69"/>
        <v>148.28333333338065</v>
      </c>
      <c r="L220" s="1052">
        <f t="shared" si="69"/>
        <v>157.9277777777462</v>
      </c>
      <c r="M220" s="1052">
        <f t="shared" si="69"/>
        <v>163.95555555550143</v>
      </c>
      <c r="N220" s="1053">
        <f t="shared" si="69"/>
        <v>108.5</v>
      </c>
      <c r="O220" s="1053">
        <f t="shared" si="69"/>
        <v>118.14444444450756</v>
      </c>
      <c r="P220" s="1053">
        <f t="shared" si="69"/>
        <v>124.17222222225378</v>
      </c>
      <c r="Q220" s="1054">
        <f t="shared" si="69"/>
        <v>102.47222222225378</v>
      </c>
      <c r="R220" s="1054">
        <f t="shared" si="71"/>
        <v>112.11666666661934</v>
      </c>
      <c r="S220" s="1054">
        <f t="shared" si="71"/>
        <v>118.14444444450756</v>
      </c>
      <c r="T220" s="1055">
        <f t="shared" si="70"/>
        <v>96.44444444450475</v>
      </c>
      <c r="U220" s="1055">
        <f t="shared" si="68"/>
        <v>106.0888888888731</v>
      </c>
      <c r="V220" s="1055">
        <f t="shared" si="68"/>
        <v>112.11666666661934</v>
      </c>
      <c r="W220" s="1056">
        <f t="shared" si="68"/>
        <v>90.41666666662623</v>
      </c>
      <c r="X220" s="1056">
        <f t="shared" si="68"/>
        <v>100.06111111112689</v>
      </c>
      <c r="Y220" s="1056">
        <f t="shared" si="68"/>
        <v>106.0888888888731</v>
      </c>
      <c r="Z220" s="1057">
        <f t="shared" si="68"/>
        <v>84.38888888887712</v>
      </c>
      <c r="AA220" s="1057">
        <f t="shared" si="68"/>
        <v>94.03333333337676</v>
      </c>
      <c r="AB220" s="1057">
        <f t="shared" si="68"/>
        <v>100.06111111112689</v>
      </c>
      <c r="AC220" s="1058">
        <f t="shared" si="68"/>
        <v>78.36111111112099</v>
      </c>
      <c r="AD220" s="1058">
        <f t="shared" si="68"/>
        <v>88.00555555550595</v>
      </c>
      <c r="AE220" s="1058">
        <f t="shared" si="68"/>
        <v>94.03333333337676</v>
      </c>
      <c r="AF220" s="1059">
        <f t="shared" si="68"/>
        <v>72.33333333335607</v>
      </c>
      <c r="AG220" s="1059">
        <f t="shared" si="68"/>
        <v>81.97777777775562</v>
      </c>
      <c r="AH220" s="1059">
        <f t="shared" si="72"/>
        <v>88.00555555550595</v>
      </c>
      <c r="AI220" s="1060">
        <f t="shared" si="72"/>
        <v>66.30555555554155</v>
      </c>
      <c r="AJ220" s="1060">
        <f t="shared" si="72"/>
        <v>75.95</v>
      </c>
      <c r="AK220" s="1060">
        <f t="shared" si="72"/>
        <v>81.97777777775562</v>
      </c>
    </row>
    <row r="221" spans="8:8" ht="15.75" customHeight="1">
      <c r="D221" s="1049">
        <f t="shared" si="66"/>
        <v>0.6055555555555968</v>
      </c>
      <c r="E221" s="1050">
        <f t="shared" si="64"/>
        <v>173.1888888889007</v>
      </c>
      <c r="F221" s="1050">
        <f t="shared" si="65"/>
        <v>182.87777777779024</v>
      </c>
      <c r="G221" s="1050">
        <f t="shared" si="65"/>
        <v>188.9333333333462</v>
      </c>
      <c r="H221" s="1051">
        <f t="shared" si="69"/>
        <v>161.07777777776212</v>
      </c>
      <c r="I221" s="1051">
        <f t="shared" si="69"/>
        <v>170.76666666671366</v>
      </c>
      <c r="J221" s="1051">
        <f t="shared" si="69"/>
        <v>176.82222222223788</v>
      </c>
      <c r="K221" s="1052">
        <f t="shared" si="69"/>
        <v>148.96666666671365</v>
      </c>
      <c r="L221" s="1052">
        <f t="shared" si="69"/>
        <v>158.65555555552422</v>
      </c>
      <c r="M221" s="1052">
        <f t="shared" si="69"/>
        <v>164.71111111105745</v>
      </c>
      <c r="N221" s="1053">
        <f t="shared" si="69"/>
        <v>109.0</v>
      </c>
      <c r="O221" s="1053">
        <f t="shared" si="69"/>
        <v>118.68888888895157</v>
      </c>
      <c r="P221" s="1053">
        <f t="shared" si="69"/>
        <v>124.74444444447577</v>
      </c>
      <c r="Q221" s="1054">
        <f t="shared" si="69"/>
        <v>102.94444444447578</v>
      </c>
      <c r="R221" s="1054">
        <f t="shared" si="71"/>
        <v>112.63333333328633</v>
      </c>
      <c r="S221" s="1054">
        <f t="shared" si="71"/>
        <v>118.68888888895157</v>
      </c>
      <c r="T221" s="1055">
        <f t="shared" si="70"/>
        <v>96.88888888894915</v>
      </c>
      <c r="U221" s="1055">
        <f t="shared" si="68"/>
        <v>106.57777777776211</v>
      </c>
      <c r="V221" s="1055">
        <f t="shared" si="68"/>
        <v>112.63333333328633</v>
      </c>
      <c r="W221" s="1056">
        <f t="shared" si="68"/>
        <v>90.83333333329293</v>
      </c>
      <c r="X221" s="1056">
        <f t="shared" si="68"/>
        <v>100.52222222223789</v>
      </c>
      <c r="Y221" s="1056">
        <f t="shared" si="68"/>
        <v>106.57777777776211</v>
      </c>
      <c r="Z221" s="1057">
        <f t="shared" si="68"/>
        <v>84.77777777776602</v>
      </c>
      <c r="AA221" s="1057">
        <f t="shared" si="68"/>
        <v>94.46666666671007</v>
      </c>
      <c r="AB221" s="1057">
        <f t="shared" si="68"/>
        <v>100.52222222223789</v>
      </c>
      <c r="AC221" s="1058">
        <f t="shared" si="68"/>
        <v>78.72222222223209</v>
      </c>
      <c r="AD221" s="1058">
        <f t="shared" si="68"/>
        <v>88.41111111106154</v>
      </c>
      <c r="AE221" s="1058">
        <f t="shared" si="68"/>
        <v>94.46666666671007</v>
      </c>
      <c r="AF221" s="1059">
        <f t="shared" si="68"/>
        <v>72.66666666668937</v>
      </c>
      <c r="AG221" s="1059">
        <f t="shared" si="68"/>
        <v>82.35555555553341</v>
      </c>
      <c r="AH221" s="1059">
        <f t="shared" si="72"/>
        <v>88.41111111106154</v>
      </c>
      <c r="AI221" s="1060">
        <f t="shared" si="72"/>
        <v>66.61111111109714</v>
      </c>
      <c r="AJ221" s="1060">
        <f t="shared" si="72"/>
        <v>76.30000000000001</v>
      </c>
      <c r="AK221" s="1060">
        <f t="shared" si="72"/>
        <v>82.35555555553341</v>
      </c>
    </row>
    <row r="222" spans="8:8" ht="15.75" customHeight="1">
      <c r="D222" s="1049">
        <f t="shared" si="66"/>
        <v>0.6083333333333748</v>
      </c>
      <c r="E222" s="1050">
        <f t="shared" si="64"/>
        <v>173.9833333333452</v>
      </c>
      <c r="F222" s="1050">
        <f t="shared" si="65"/>
        <v>183.7166666666792</v>
      </c>
      <c r="G222" s="1050">
        <f t="shared" si="65"/>
        <v>189.80000000001294</v>
      </c>
      <c r="H222" s="1051">
        <f t="shared" si="69"/>
        <v>161.81666666665112</v>
      </c>
      <c r="I222" s="1051">
        <f t="shared" si="69"/>
        <v>171.55000000004668</v>
      </c>
      <c r="J222" s="1051">
        <f t="shared" si="69"/>
        <v>177.6333333333489</v>
      </c>
      <c r="K222" s="1052">
        <f t="shared" si="69"/>
        <v>149.65000000004667</v>
      </c>
      <c r="L222" s="1052">
        <f t="shared" si="69"/>
        <v>159.3833333333022</v>
      </c>
      <c r="M222" s="1052">
        <f t="shared" si="69"/>
        <v>165.46666666661343</v>
      </c>
      <c r="N222" s="1053">
        <f t="shared" si="69"/>
        <v>109.5</v>
      </c>
      <c r="O222" s="1053">
        <f t="shared" si="69"/>
        <v>119.23333333339556</v>
      </c>
      <c r="P222" s="1053">
        <f t="shared" si="69"/>
        <v>125.31666666669777</v>
      </c>
      <c r="Q222" s="1054">
        <f t="shared" si="69"/>
        <v>103.41666666669776</v>
      </c>
      <c r="R222" s="1054">
        <f t="shared" si="71"/>
        <v>113.14999999995334</v>
      </c>
      <c r="S222" s="1054">
        <f t="shared" si="71"/>
        <v>119.23333333339556</v>
      </c>
      <c r="T222" s="1055">
        <f t="shared" si="70"/>
        <v>97.33333333339355</v>
      </c>
      <c r="U222" s="1055">
        <f t="shared" si="68"/>
        <v>107.0666666666511</v>
      </c>
      <c r="V222" s="1055">
        <f t="shared" si="68"/>
        <v>113.14999999995334</v>
      </c>
      <c r="W222" s="1056">
        <f t="shared" si="68"/>
        <v>91.24999999995963</v>
      </c>
      <c r="X222" s="1056">
        <f t="shared" si="68"/>
        <v>100.9833333333489</v>
      </c>
      <c r="Y222" s="1056">
        <f t="shared" si="68"/>
        <v>107.0666666666511</v>
      </c>
      <c r="Z222" s="1057">
        <f t="shared" si="68"/>
        <v>85.16666666665492</v>
      </c>
      <c r="AA222" s="1057">
        <f t="shared" si="68"/>
        <v>94.90000000004336</v>
      </c>
      <c r="AB222" s="1057">
        <f t="shared" si="68"/>
        <v>100.9833333333489</v>
      </c>
      <c r="AC222" s="1058">
        <f t="shared" si="68"/>
        <v>79.08333333334319</v>
      </c>
      <c r="AD222" s="1058">
        <f t="shared" si="68"/>
        <v>88.81666666661705</v>
      </c>
      <c r="AE222" s="1058">
        <f t="shared" si="68"/>
        <v>94.90000000004336</v>
      </c>
      <c r="AF222" s="1059">
        <f t="shared" si="68"/>
        <v>73.00000000002267</v>
      </c>
      <c r="AG222" s="1059">
        <f t="shared" si="68"/>
        <v>82.73333333331122</v>
      </c>
      <c r="AH222" s="1059">
        <f t="shared" si="72"/>
        <v>88.81666666661705</v>
      </c>
      <c r="AI222" s="1060">
        <f t="shared" si="72"/>
        <v>66.91666666665274</v>
      </c>
      <c r="AJ222" s="1060">
        <f t="shared" si="72"/>
        <v>76.65</v>
      </c>
      <c r="AK222" s="1060">
        <f t="shared" si="72"/>
        <v>82.73333333331122</v>
      </c>
    </row>
    <row r="223" spans="8:8" ht="15.75" customHeight="1">
      <c r="D223" s="1049">
        <f t="shared" si="66"/>
        <v>0.6111111111111528</v>
      </c>
      <c r="E223" s="1050">
        <f t="shared" si="64"/>
        <v>174.7777777777897</v>
      </c>
      <c r="F223" s="1050">
        <f t="shared" si="65"/>
        <v>184.55555555556813</v>
      </c>
      <c r="G223" s="1050">
        <f t="shared" si="65"/>
        <v>190.66666666667967</v>
      </c>
      <c r="H223" s="1051">
        <f t="shared" si="69"/>
        <v>162.5555555555401</v>
      </c>
      <c r="I223" s="1051">
        <f t="shared" si="69"/>
        <v>172.33333333337967</v>
      </c>
      <c r="J223" s="1051">
        <f t="shared" si="69"/>
        <v>178.4444444444599</v>
      </c>
      <c r="K223" s="1052">
        <f t="shared" si="69"/>
        <v>150.33333333337967</v>
      </c>
      <c r="L223" s="1052">
        <f t="shared" si="69"/>
        <v>160.11111111108022</v>
      </c>
      <c r="M223" s="1052">
        <f t="shared" si="69"/>
        <v>166.22222222216945</v>
      </c>
      <c r="N223" s="1053">
        <f t="shared" si="69"/>
        <v>110.0</v>
      </c>
      <c r="O223" s="1053">
        <f t="shared" si="69"/>
        <v>119.77777777783956</v>
      </c>
      <c r="P223" s="1053">
        <f t="shared" si="69"/>
        <v>125.88888888891978</v>
      </c>
      <c r="Q223" s="1054">
        <f t="shared" si="69"/>
        <v>103.88888888891977</v>
      </c>
      <c r="R223" s="1054">
        <f t="shared" si="71"/>
        <v>113.66666666662033</v>
      </c>
      <c r="S223" s="1054">
        <f t="shared" si="71"/>
        <v>119.77777777783956</v>
      </c>
      <c r="T223" s="1055">
        <f t="shared" si="70"/>
        <v>97.77777777783795</v>
      </c>
      <c r="U223" s="1055">
        <f t="shared" si="68"/>
        <v>107.55555555554011</v>
      </c>
      <c r="V223" s="1055">
        <f t="shared" si="68"/>
        <v>113.66666666662033</v>
      </c>
      <c r="W223" s="1056">
        <f t="shared" si="68"/>
        <v>91.66666666662633</v>
      </c>
      <c r="X223" s="1056">
        <f t="shared" si="68"/>
        <v>101.44444444445989</v>
      </c>
      <c r="Y223" s="1056">
        <f t="shared" si="68"/>
        <v>107.55555555554011</v>
      </c>
      <c r="Z223" s="1057">
        <f t="shared" si="68"/>
        <v>85.55555555554382</v>
      </c>
      <c r="AA223" s="1057">
        <f t="shared" si="68"/>
        <v>95.33333333337666</v>
      </c>
      <c r="AB223" s="1057">
        <f t="shared" si="68"/>
        <v>101.44444444445989</v>
      </c>
      <c r="AC223" s="1058">
        <f t="shared" si="68"/>
        <v>79.44444444445429</v>
      </c>
      <c r="AD223" s="1058">
        <f t="shared" si="68"/>
        <v>89.22222222217255</v>
      </c>
      <c r="AE223" s="1058">
        <f t="shared" si="68"/>
        <v>95.33333333337666</v>
      </c>
      <c r="AF223" s="1059">
        <f t="shared" si="68"/>
        <v>73.33333333335597</v>
      </c>
      <c r="AG223" s="1059">
        <f t="shared" si="68"/>
        <v>83.11111111108902</v>
      </c>
      <c r="AH223" s="1059">
        <f t="shared" si="72"/>
        <v>89.22222222217255</v>
      </c>
      <c r="AI223" s="1060">
        <f t="shared" si="72"/>
        <v>67.22222222220825</v>
      </c>
      <c r="AJ223" s="1060">
        <f t="shared" si="72"/>
        <v>77.0</v>
      </c>
      <c r="AK223" s="1060">
        <f t="shared" si="72"/>
        <v>83.11111111108902</v>
      </c>
    </row>
    <row r="224" spans="8:8" ht="15.75" customHeight="1">
      <c r="D224" s="1049">
        <f t="shared" si="66"/>
        <v>0.6138888888889308</v>
      </c>
      <c r="E224" s="1050">
        <f t="shared" si="64"/>
        <v>175.57222222223422</v>
      </c>
      <c r="F224" s="1050">
        <f t="shared" si="65"/>
        <v>185.3944444444571</v>
      </c>
      <c r="G224" s="1050">
        <f t="shared" si="65"/>
        <v>191.5333333333464</v>
      </c>
      <c r="H224" s="1051">
        <f t="shared" si="69"/>
        <v>163.29444444442913</v>
      </c>
      <c r="I224" s="1051">
        <f t="shared" si="69"/>
        <v>173.11666666671266</v>
      </c>
      <c r="J224" s="1051">
        <f t="shared" si="69"/>
        <v>179.2555555555709</v>
      </c>
      <c r="K224" s="1052">
        <f t="shared" si="69"/>
        <v>151.01666666671267</v>
      </c>
      <c r="L224" s="1052">
        <f t="shared" si="69"/>
        <v>160.8388888888582</v>
      </c>
      <c r="M224" s="1052">
        <f t="shared" si="69"/>
        <v>166.97777777772544</v>
      </c>
      <c r="N224" s="1053">
        <f t="shared" si="69"/>
        <v>110.5</v>
      </c>
      <c r="O224" s="1053">
        <f t="shared" si="69"/>
        <v>120.32222222228356</v>
      </c>
      <c r="P224" s="1053">
        <f t="shared" si="69"/>
        <v>126.46111111114178</v>
      </c>
      <c r="Q224" s="1054">
        <f t="shared" si="69"/>
        <v>104.36111111114177</v>
      </c>
      <c r="R224" s="1054">
        <f t="shared" si="71"/>
        <v>114.18333333328734</v>
      </c>
      <c r="S224" s="1054">
        <f t="shared" si="71"/>
        <v>120.32222222228356</v>
      </c>
      <c r="T224" s="1055">
        <f t="shared" si="70"/>
        <v>98.22222222228235</v>
      </c>
      <c r="U224" s="1055">
        <f t="shared" si="68"/>
        <v>108.0444444444291</v>
      </c>
      <c r="V224" s="1055">
        <f t="shared" si="68"/>
        <v>114.18333333328734</v>
      </c>
      <c r="W224" s="1056">
        <f t="shared" si="68"/>
        <v>92.08333333329303</v>
      </c>
      <c r="X224" s="1056">
        <f t="shared" si="68"/>
        <v>101.90555555557088</v>
      </c>
      <c r="Y224" s="1056">
        <f t="shared" si="68"/>
        <v>108.0444444444291</v>
      </c>
      <c r="Z224" s="1057">
        <f t="shared" si="68"/>
        <v>85.94444444443272</v>
      </c>
      <c r="AA224" s="1057">
        <f t="shared" si="68"/>
        <v>95.76666666670997</v>
      </c>
      <c r="AB224" s="1057">
        <f t="shared" si="68"/>
        <v>101.90555555557088</v>
      </c>
      <c r="AC224" s="1058">
        <f t="shared" si="68"/>
        <v>79.80555555556539</v>
      </c>
      <c r="AD224" s="1058">
        <f t="shared" si="68"/>
        <v>89.62777777772814</v>
      </c>
      <c r="AE224" s="1058">
        <f t="shared" si="68"/>
        <v>95.76666666670997</v>
      </c>
      <c r="AF224" s="1059">
        <f t="shared" si="68"/>
        <v>73.66666666668927</v>
      </c>
      <c r="AG224" s="1059">
        <f t="shared" si="68"/>
        <v>83.48888888886682</v>
      </c>
      <c r="AH224" s="1059">
        <f t="shared" si="72"/>
        <v>89.62777777772814</v>
      </c>
      <c r="AI224" s="1060">
        <f t="shared" si="72"/>
        <v>67.52777777776384</v>
      </c>
      <c r="AJ224" s="1060">
        <f t="shared" si="72"/>
        <v>77.35000000000001</v>
      </c>
      <c r="AK224" s="1060">
        <f t="shared" si="72"/>
        <v>83.48888888886682</v>
      </c>
    </row>
    <row r="225" spans="8:8" ht="15.75" customHeight="1">
      <c r="D225" s="1049">
        <f t="shared" si="66"/>
        <v>0.6166666666667088</v>
      </c>
      <c r="E225" s="1050">
        <f t="shared" si="64"/>
        <v>176.3666666666787</v>
      </c>
      <c r="F225" s="1050">
        <f t="shared" si="65"/>
        <v>186.23333333334605</v>
      </c>
      <c r="G225" s="1050">
        <f t="shared" si="65"/>
        <v>192.40000000001314</v>
      </c>
      <c r="H225" s="1051">
        <f t="shared" si="69"/>
        <v>164.03333333331813</v>
      </c>
      <c r="I225" s="1051">
        <f t="shared" si="69"/>
        <v>173.90000000004568</v>
      </c>
      <c r="J225" s="1051">
        <f t="shared" si="69"/>
        <v>180.0666666666819</v>
      </c>
      <c r="K225" s="1052">
        <f t="shared" si="69"/>
        <v>151.70000000004566</v>
      </c>
      <c r="L225" s="1052">
        <f t="shared" si="69"/>
        <v>161.56666666663622</v>
      </c>
      <c r="M225" s="1052">
        <f t="shared" si="69"/>
        <v>167.73333333328145</v>
      </c>
      <c r="N225" s="1053">
        <f t="shared" si="69"/>
        <v>111.0</v>
      </c>
      <c r="O225" s="1053">
        <f t="shared" si="69"/>
        <v>120.86666666672757</v>
      </c>
      <c r="P225" s="1053">
        <f t="shared" si="69"/>
        <v>127.03333333336377</v>
      </c>
      <c r="Q225" s="1054">
        <f t="shared" si="69"/>
        <v>104.83333333336377</v>
      </c>
      <c r="R225" s="1054">
        <f t="shared" si="71"/>
        <v>114.69999999995433</v>
      </c>
      <c r="S225" s="1054">
        <f t="shared" si="71"/>
        <v>120.86666666672757</v>
      </c>
      <c r="T225" s="1055">
        <f t="shared" si="70"/>
        <v>98.66666666672675</v>
      </c>
      <c r="U225" s="1055">
        <f t="shared" si="68"/>
        <v>108.53333333331811</v>
      </c>
      <c r="V225" s="1055">
        <f t="shared" si="68"/>
        <v>114.69999999995433</v>
      </c>
      <c r="W225" s="1056">
        <f t="shared" si="68"/>
        <v>92.49999999995973</v>
      </c>
      <c r="X225" s="1056">
        <f t="shared" si="68"/>
        <v>102.3666666666819</v>
      </c>
      <c r="Y225" s="1056">
        <f t="shared" si="68"/>
        <v>108.53333333331811</v>
      </c>
      <c r="Z225" s="1057">
        <f t="shared" si="68"/>
        <v>86.33333333332162</v>
      </c>
      <c r="AA225" s="1057">
        <f t="shared" si="68"/>
        <v>96.20000000004326</v>
      </c>
      <c r="AB225" s="1057">
        <f t="shared" si="68"/>
        <v>102.3666666666819</v>
      </c>
      <c r="AC225" s="1058">
        <f t="shared" si="68"/>
        <v>80.16666666667649</v>
      </c>
      <c r="AD225" s="1058">
        <f t="shared" si="68"/>
        <v>90.03333333328365</v>
      </c>
      <c r="AE225" s="1058">
        <f t="shared" si="68"/>
        <v>96.20000000004326</v>
      </c>
      <c r="AF225" s="1059">
        <f t="shared" si="68"/>
        <v>74.00000000002257</v>
      </c>
      <c r="AG225" s="1059">
        <f t="shared" si="68"/>
        <v>83.86666666664462</v>
      </c>
      <c r="AH225" s="1059">
        <f t="shared" si="72"/>
        <v>90.03333333328365</v>
      </c>
      <c r="AI225" s="1060">
        <f t="shared" si="72"/>
        <v>67.83333333331935</v>
      </c>
      <c r="AJ225" s="1060">
        <f t="shared" si="72"/>
        <v>77.7</v>
      </c>
      <c r="AK225" s="1060">
        <f t="shared" si="72"/>
        <v>83.86666666664462</v>
      </c>
    </row>
    <row r="226" spans="8:8" ht="15.75" customHeight="1">
      <c r="D226" s="1049">
        <f t="shared" si="66"/>
        <v>0.6194444444444868</v>
      </c>
      <c r="E226" s="1050">
        <f t="shared" si="64"/>
        <v>177.1611111111232</v>
      </c>
      <c r="F226" s="1050">
        <f t="shared" si="65"/>
        <v>187.072222222235</v>
      </c>
      <c r="G226" s="1050">
        <f t="shared" si="65"/>
        <v>193.26666666667987</v>
      </c>
      <c r="H226" s="1051">
        <f t="shared" si="69"/>
        <v>164.77222222220712</v>
      </c>
      <c r="I226" s="1051">
        <f t="shared" si="69"/>
        <v>174.68333333337867</v>
      </c>
      <c r="J226" s="1051">
        <f t="shared" si="69"/>
        <v>180.8777777777929</v>
      </c>
      <c r="K226" s="1052">
        <f t="shared" si="69"/>
        <v>152.38333333337866</v>
      </c>
      <c r="L226" s="1052">
        <f t="shared" si="69"/>
        <v>162.2944444444142</v>
      </c>
      <c r="M226" s="1052">
        <f t="shared" si="69"/>
        <v>168.48888888883744</v>
      </c>
      <c r="N226" s="1053">
        <f t="shared" si="69"/>
        <v>111.5</v>
      </c>
      <c r="O226" s="1053">
        <f t="shared" si="69"/>
        <v>121.41111111117156</v>
      </c>
      <c r="P226" s="1053">
        <f t="shared" si="69"/>
        <v>127.60555555558577</v>
      </c>
      <c r="Q226" s="1054">
        <f t="shared" si="69"/>
        <v>105.30555555558577</v>
      </c>
      <c r="R226" s="1054">
        <f t="shared" si="71"/>
        <v>115.21666666662134</v>
      </c>
      <c r="S226" s="1054">
        <f t="shared" si="71"/>
        <v>121.41111111117156</v>
      </c>
      <c r="T226" s="1055">
        <f t="shared" si="70"/>
        <v>99.11111111117116</v>
      </c>
      <c r="U226" s="1055">
        <f t="shared" si="68"/>
        <v>109.0222222222071</v>
      </c>
      <c r="V226" s="1055">
        <f t="shared" si="68"/>
        <v>115.21666666662134</v>
      </c>
      <c r="W226" s="1056">
        <f t="shared" si="68"/>
        <v>92.91666666662643</v>
      </c>
      <c r="X226" s="1056">
        <f t="shared" si="68"/>
        <v>102.82777777779289</v>
      </c>
      <c r="Y226" s="1056">
        <f t="shared" si="68"/>
        <v>109.0222222222071</v>
      </c>
      <c r="Z226" s="1057">
        <f t="shared" si="68"/>
        <v>86.72222222221052</v>
      </c>
      <c r="AA226" s="1057">
        <f t="shared" si="68"/>
        <v>96.63333333337657</v>
      </c>
      <c r="AB226" s="1057">
        <f t="shared" si="68"/>
        <v>102.82777777779289</v>
      </c>
      <c r="AC226" s="1058">
        <f t="shared" si="68"/>
        <v>80.52777777778759</v>
      </c>
      <c r="AD226" s="1058">
        <f t="shared" si="68"/>
        <v>90.43888888883924</v>
      </c>
      <c r="AE226" s="1058">
        <f t="shared" si="68"/>
        <v>96.63333333337657</v>
      </c>
      <c r="AF226" s="1059">
        <f t="shared" si="68"/>
        <v>74.33333333335587</v>
      </c>
      <c r="AG226" s="1059">
        <f t="shared" si="68"/>
        <v>84.24444444442241</v>
      </c>
      <c r="AH226" s="1059">
        <f t="shared" si="72"/>
        <v>90.43888888883924</v>
      </c>
      <c r="AI226" s="1060">
        <f t="shared" si="72"/>
        <v>68.13888888887494</v>
      </c>
      <c r="AJ226" s="1060">
        <f t="shared" si="72"/>
        <v>78.05000000000001</v>
      </c>
      <c r="AK226" s="1060">
        <f t="shared" si="72"/>
        <v>84.24444444442241</v>
      </c>
    </row>
    <row r="227" spans="8:8" ht="15.75" customHeight="1">
      <c r="D227" s="1049">
        <f t="shared" si="66"/>
        <v>0.6222222222222648</v>
      </c>
      <c r="E227" s="1050">
        <f t="shared" si="64"/>
        <v>177.9555555555677</v>
      </c>
      <c r="F227" s="1050">
        <f t="shared" si="73" ref="F227:G258">F$363*$D227</f>
        <v>187.91111111112394</v>
      </c>
      <c r="G227" s="1050">
        <f t="shared" si="73"/>
        <v>194.1333333333466</v>
      </c>
      <c r="H227" s="1051">
        <f t="shared" si="69"/>
        <v>165.5111111110961</v>
      </c>
      <c r="I227" s="1051">
        <f t="shared" si="69"/>
        <v>175.46666666671166</v>
      </c>
      <c r="J227" s="1051">
        <f t="shared" si="69"/>
        <v>181.6888888889039</v>
      </c>
      <c r="K227" s="1052">
        <f t="shared" si="69"/>
        <v>153.06666666671165</v>
      </c>
      <c r="L227" s="1052">
        <f t="shared" si="69"/>
        <v>163.0222222221922</v>
      </c>
      <c r="M227" s="1052">
        <f t="shared" si="69"/>
        <v>169.24444444439345</v>
      </c>
      <c r="N227" s="1053">
        <f t="shared" si="69"/>
        <v>112.0</v>
      </c>
      <c r="O227" s="1053">
        <f t="shared" si="69"/>
        <v>121.95555555561556</v>
      </c>
      <c r="P227" s="1053">
        <f t="shared" si="69"/>
        <v>128.1777777778078</v>
      </c>
      <c r="Q227" s="1054">
        <f t="shared" si="69"/>
        <v>105.77777777780777</v>
      </c>
      <c r="R227" s="1054">
        <f t="shared" si="71"/>
        <v>115.73333333328833</v>
      </c>
      <c r="S227" s="1054">
        <f t="shared" si="71"/>
        <v>121.95555555561556</v>
      </c>
      <c r="T227" s="1055">
        <f t="shared" si="70"/>
        <v>99.55555555561556</v>
      </c>
      <c r="U227" s="1055">
        <f t="shared" si="70"/>
        <v>109.5111111110961</v>
      </c>
      <c r="V227" s="1055">
        <f t="shared" si="70"/>
        <v>115.73333333328833</v>
      </c>
      <c r="W227" s="1056">
        <f t="shared" si="70"/>
        <v>93.33333333329313</v>
      </c>
      <c r="X227" s="1056">
        <f t="shared" si="70"/>
        <v>103.2888888889039</v>
      </c>
      <c r="Y227" s="1056">
        <f t="shared" si="70"/>
        <v>109.5111111110961</v>
      </c>
      <c r="Z227" s="1057">
        <f t="shared" si="70"/>
        <v>87.11111111109942</v>
      </c>
      <c r="AA227" s="1057">
        <f t="shared" si="70"/>
        <v>97.06666666670986</v>
      </c>
      <c r="AB227" s="1057">
        <f t="shared" si="70"/>
        <v>103.2888888889039</v>
      </c>
      <c r="AC227" s="1058">
        <f t="shared" si="70"/>
        <v>80.88888888889869</v>
      </c>
      <c r="AD227" s="1058">
        <f t="shared" si="70"/>
        <v>90.84444444439475</v>
      </c>
      <c r="AE227" s="1058">
        <f t="shared" si="70"/>
        <v>97.06666666670986</v>
      </c>
      <c r="AF227" s="1059">
        <f t="shared" si="70"/>
        <v>74.66666666668917</v>
      </c>
      <c r="AG227" s="1059">
        <f t="shared" si="70"/>
        <v>84.62222222220022</v>
      </c>
      <c r="AH227" s="1059">
        <f t="shared" si="72"/>
        <v>90.84444444439475</v>
      </c>
      <c r="AI227" s="1060">
        <f t="shared" si="72"/>
        <v>68.44444444443045</v>
      </c>
      <c r="AJ227" s="1060">
        <f t="shared" si="72"/>
        <v>78.4</v>
      </c>
      <c r="AK227" s="1060">
        <f t="shared" si="72"/>
        <v>84.62222222220022</v>
      </c>
    </row>
    <row r="228" spans="8:8" ht="15.75" customHeight="1">
      <c r="D228" s="1049">
        <f t="shared" si="66"/>
        <v>0.6250000000000427</v>
      </c>
      <c r="E228" s="1050">
        <f t="shared" si="64"/>
        <v>178.75000000001222</v>
      </c>
      <c r="F228" s="1050">
        <f t="shared" si="73"/>
        <v>188.7500000000129</v>
      </c>
      <c r="G228" s="1050">
        <f t="shared" si="73"/>
        <v>195.00000000001333</v>
      </c>
      <c r="H228" s="1051">
        <f t="shared" si="69"/>
        <v>166.2499999999851</v>
      </c>
      <c r="I228" s="1051">
        <f t="shared" si="69"/>
        <v>176.25000000004468</v>
      </c>
      <c r="J228" s="1051">
        <f t="shared" si="69"/>
        <v>182.5000000000149</v>
      </c>
      <c r="K228" s="1052">
        <f t="shared" si="69"/>
        <v>153.75000000004465</v>
      </c>
      <c r="L228" s="1052">
        <f t="shared" si="69"/>
        <v>163.7499999999702</v>
      </c>
      <c r="M228" s="1052">
        <f t="shared" si="69"/>
        <v>169.99999999994944</v>
      </c>
      <c r="N228" s="1053">
        <f t="shared" si="69"/>
        <v>112.5</v>
      </c>
      <c r="O228" s="1053">
        <f t="shared" si="69"/>
        <v>122.50000000005956</v>
      </c>
      <c r="P228" s="1053">
        <f t="shared" si="69"/>
        <v>128.7500000000298</v>
      </c>
      <c r="Q228" s="1054">
        <f t="shared" si="69"/>
        <v>106.25000000002977</v>
      </c>
      <c r="R228" s="1054">
        <f t="shared" si="71"/>
        <v>116.24999999995534</v>
      </c>
      <c r="S228" s="1054">
        <f t="shared" si="71"/>
        <v>122.50000000005956</v>
      </c>
      <c r="T228" s="1055">
        <f t="shared" si="70"/>
        <v>100.00000000005956</v>
      </c>
      <c r="U228" s="1055">
        <f t="shared" si="70"/>
        <v>109.9999999999851</v>
      </c>
      <c r="V228" s="1055">
        <f t="shared" si="70"/>
        <v>116.24999999995534</v>
      </c>
      <c r="W228" s="1056">
        <f t="shared" si="70"/>
        <v>93.74999999995983</v>
      </c>
      <c r="X228" s="1056">
        <f t="shared" si="70"/>
        <v>103.7500000000149</v>
      </c>
      <c r="Y228" s="1056">
        <f t="shared" si="70"/>
        <v>109.9999999999851</v>
      </c>
      <c r="Z228" s="1057">
        <f t="shared" si="70"/>
        <v>87.49999999998832</v>
      </c>
      <c r="AA228" s="1057">
        <f t="shared" si="70"/>
        <v>97.50000000004316</v>
      </c>
      <c r="AB228" s="1057">
        <f t="shared" si="70"/>
        <v>103.7500000000149</v>
      </c>
      <c r="AC228" s="1058">
        <f t="shared" si="70"/>
        <v>81.25000000000979</v>
      </c>
      <c r="AD228" s="1058">
        <f t="shared" si="70"/>
        <v>91.24999999995025</v>
      </c>
      <c r="AE228" s="1058">
        <f t="shared" si="70"/>
        <v>97.50000000004316</v>
      </c>
      <c r="AF228" s="1059">
        <f t="shared" si="70"/>
        <v>75.00000000002247</v>
      </c>
      <c r="AG228" s="1059">
        <f t="shared" si="70"/>
        <v>84.99999999997802</v>
      </c>
      <c r="AH228" s="1059">
        <f t="shared" si="72"/>
        <v>91.24999999995025</v>
      </c>
      <c r="AI228" s="1060">
        <f t="shared" si="72"/>
        <v>68.74999999998604</v>
      </c>
      <c r="AJ228" s="1060">
        <f t="shared" si="72"/>
        <v>78.75</v>
      </c>
      <c r="AK228" s="1060">
        <f t="shared" si="72"/>
        <v>84.99999999997802</v>
      </c>
    </row>
    <row r="229" spans="8:8" ht="15.75" customHeight="1">
      <c r="D229" s="1049">
        <f t="shared" si="66"/>
        <v>0.6277777777778207</v>
      </c>
      <c r="E229" s="1050">
        <f t="shared" si="64"/>
        <v>179.54444444445673</v>
      </c>
      <c r="F229" s="1050">
        <f t="shared" si="73"/>
        <v>189.58888888890186</v>
      </c>
      <c r="G229" s="1050">
        <f t="shared" si="73"/>
        <v>195.86666666668006</v>
      </c>
      <c r="H229" s="1051">
        <f t="shared" si="69"/>
        <v>166.98888888887413</v>
      </c>
      <c r="I229" s="1051">
        <f t="shared" si="69"/>
        <v>177.03333333337767</v>
      </c>
      <c r="J229" s="1051">
        <f t="shared" si="69"/>
        <v>183.3111111111259</v>
      </c>
      <c r="K229" s="1052">
        <f t="shared" si="69"/>
        <v>154.43333333337767</v>
      </c>
      <c r="L229" s="1052">
        <f t="shared" si="69"/>
        <v>164.4777777777482</v>
      </c>
      <c r="M229" s="1052">
        <f t="shared" si="69"/>
        <v>170.75555555550545</v>
      </c>
      <c r="N229" s="1053">
        <f t="shared" si="69"/>
        <v>113.0</v>
      </c>
      <c r="O229" s="1053">
        <f t="shared" si="69"/>
        <v>123.04444444450357</v>
      </c>
      <c r="P229" s="1053">
        <f t="shared" si="69"/>
        <v>129.32222222225178</v>
      </c>
      <c r="Q229" s="1054">
        <f t="shared" si="69"/>
        <v>106.72222222225177</v>
      </c>
      <c r="R229" s="1054">
        <f t="shared" si="71"/>
        <v>116.76666666662233</v>
      </c>
      <c r="S229" s="1054">
        <f t="shared" si="71"/>
        <v>123.04444444450357</v>
      </c>
      <c r="T229" s="1055">
        <f t="shared" si="70"/>
        <v>100.44444444450356</v>
      </c>
      <c r="U229" s="1055">
        <f t="shared" si="70"/>
        <v>110.4888888888741</v>
      </c>
      <c r="V229" s="1055">
        <f t="shared" si="70"/>
        <v>116.76666666662233</v>
      </c>
      <c r="W229" s="1056">
        <f t="shared" si="70"/>
        <v>94.16666666662653</v>
      </c>
      <c r="X229" s="1056">
        <f t="shared" si="70"/>
        <v>104.21111111112589</v>
      </c>
      <c r="Y229" s="1056">
        <f t="shared" si="70"/>
        <v>110.4888888888741</v>
      </c>
      <c r="Z229" s="1057">
        <f t="shared" si="70"/>
        <v>87.88888888887722</v>
      </c>
      <c r="AA229" s="1057">
        <f t="shared" si="70"/>
        <v>97.93333333337647</v>
      </c>
      <c r="AB229" s="1057">
        <f t="shared" si="70"/>
        <v>104.21111111112589</v>
      </c>
      <c r="AC229" s="1058">
        <f t="shared" si="70"/>
        <v>81.61111111112089</v>
      </c>
      <c r="AD229" s="1058">
        <f t="shared" si="70"/>
        <v>91.65555555550584</v>
      </c>
      <c r="AE229" s="1058">
        <f t="shared" si="70"/>
        <v>97.93333333337647</v>
      </c>
      <c r="AF229" s="1059">
        <f t="shared" si="70"/>
        <v>75.33333333335577</v>
      </c>
      <c r="AG229" s="1059">
        <f t="shared" si="70"/>
        <v>85.37777777775582</v>
      </c>
      <c r="AH229" s="1059">
        <f t="shared" si="72"/>
        <v>91.65555555550584</v>
      </c>
      <c r="AI229" s="1060">
        <f t="shared" si="72"/>
        <v>69.05555555554155</v>
      </c>
      <c r="AJ229" s="1060">
        <f t="shared" si="72"/>
        <v>79.10000000000001</v>
      </c>
      <c r="AK229" s="1060">
        <f t="shared" si="72"/>
        <v>85.37777777775582</v>
      </c>
    </row>
    <row r="230" spans="8:8" ht="15.75" customHeight="1">
      <c r="D230" s="1049">
        <f t="shared" si="66"/>
        <v>0.6305555555555987</v>
      </c>
      <c r="E230" s="1050">
        <f t="shared" si="64"/>
        <v>180.33888888890124</v>
      </c>
      <c r="F230" s="1050">
        <f t="shared" si="73"/>
        <v>190.42777777779082</v>
      </c>
      <c r="G230" s="1050">
        <f t="shared" si="73"/>
        <v>196.7333333333468</v>
      </c>
      <c r="H230" s="1051">
        <f t="shared" si="69"/>
        <v>167.72777777776312</v>
      </c>
      <c r="I230" s="1051">
        <f t="shared" si="69"/>
        <v>177.81666666671066</v>
      </c>
      <c r="J230" s="1051">
        <f t="shared" si="69"/>
        <v>184.1222222222369</v>
      </c>
      <c r="K230" s="1052">
        <f t="shared" si="69"/>
        <v>155.11666666671067</v>
      </c>
      <c r="L230" s="1052">
        <f t="shared" si="69"/>
        <v>165.20555555552622</v>
      </c>
      <c r="M230" s="1052">
        <f t="shared" si="69"/>
        <v>171.51111111106144</v>
      </c>
      <c r="N230" s="1053">
        <f t="shared" si="69"/>
        <v>113.5</v>
      </c>
      <c r="O230" s="1053">
        <f t="shared" si="69"/>
        <v>123.58888888894757</v>
      </c>
      <c r="P230" s="1053">
        <f t="shared" si="69"/>
        <v>129.89444444447378</v>
      </c>
      <c r="Q230" s="1054">
        <f t="shared" si="69"/>
        <v>107.19444444447377</v>
      </c>
      <c r="R230" s="1054">
        <f t="shared" si="71"/>
        <v>117.28333333328933</v>
      </c>
      <c r="S230" s="1054">
        <f t="shared" si="71"/>
        <v>123.58888888894757</v>
      </c>
      <c r="T230" s="1055">
        <f t="shared" si="70"/>
        <v>100.88888888894756</v>
      </c>
      <c r="U230" s="1055">
        <f t="shared" si="70"/>
        <v>110.97777777776311</v>
      </c>
      <c r="V230" s="1055">
        <f t="shared" si="70"/>
        <v>117.28333333328933</v>
      </c>
      <c r="W230" s="1056">
        <f t="shared" si="70"/>
        <v>94.58333333329323</v>
      </c>
      <c r="X230" s="1056">
        <f t="shared" si="70"/>
        <v>104.6722222222369</v>
      </c>
      <c r="Y230" s="1056">
        <f t="shared" si="70"/>
        <v>110.97777777776311</v>
      </c>
      <c r="Z230" s="1057">
        <f t="shared" si="70"/>
        <v>88.27777777776612</v>
      </c>
      <c r="AA230" s="1057">
        <f t="shared" si="70"/>
        <v>98.36666666670976</v>
      </c>
      <c r="AB230" s="1057">
        <f t="shared" si="70"/>
        <v>104.6722222222369</v>
      </c>
      <c r="AC230" s="1058">
        <f t="shared" si="70"/>
        <v>81.97222222223199</v>
      </c>
      <c r="AD230" s="1058">
        <f t="shared" si="70"/>
        <v>92.06111111106135</v>
      </c>
      <c r="AE230" s="1058">
        <f t="shared" si="70"/>
        <v>98.36666666670976</v>
      </c>
      <c r="AF230" s="1059">
        <f t="shared" si="70"/>
        <v>75.66666666668907</v>
      </c>
      <c r="AG230" s="1059">
        <f t="shared" si="70"/>
        <v>85.75555555553362</v>
      </c>
      <c r="AH230" s="1059">
        <f t="shared" si="72"/>
        <v>92.06111111106135</v>
      </c>
      <c r="AI230" s="1060">
        <f t="shared" si="72"/>
        <v>69.36111111109714</v>
      </c>
      <c r="AJ230" s="1060">
        <f t="shared" si="72"/>
        <v>79.45</v>
      </c>
      <c r="AK230" s="1060">
        <f t="shared" si="72"/>
        <v>85.75555555553362</v>
      </c>
    </row>
    <row r="231" spans="8:8" ht="15.75" customHeight="1">
      <c r="D231" s="1049">
        <f t="shared" si="66"/>
        <v>0.6333333333333767</v>
      </c>
      <c r="E231" s="1050">
        <f t="shared" si="64"/>
        <v>181.13333333334575</v>
      </c>
      <c r="F231" s="1050">
        <f t="shared" si="73"/>
        <v>191.26666666667975</v>
      </c>
      <c r="G231" s="1050">
        <f t="shared" si="73"/>
        <v>197.60000000001352</v>
      </c>
      <c r="H231" s="1051">
        <f t="shared" si="69"/>
        <v>168.46666666665212</v>
      </c>
      <c r="I231" s="1051">
        <f t="shared" si="69"/>
        <v>178.60000000004368</v>
      </c>
      <c r="J231" s="1051">
        <f t="shared" si="69"/>
        <v>184.9333333333479</v>
      </c>
      <c r="K231" s="1052">
        <f t="shared" si="69"/>
        <v>155.80000000004367</v>
      </c>
      <c r="L231" s="1052">
        <f t="shared" si="69"/>
        <v>165.9333333333042</v>
      </c>
      <c r="M231" s="1052">
        <f t="shared" si="69"/>
        <v>172.26666666661745</v>
      </c>
      <c r="N231" s="1053">
        <f t="shared" si="69"/>
        <v>114.0</v>
      </c>
      <c r="O231" s="1053">
        <f t="shared" si="69"/>
        <v>124.13333333339156</v>
      </c>
      <c r="P231" s="1053">
        <f t="shared" si="69"/>
        <v>130.46666666669577</v>
      </c>
      <c r="Q231" s="1054">
        <f t="shared" si="69"/>
        <v>107.66666666669578</v>
      </c>
      <c r="R231" s="1054">
        <f t="shared" si="71"/>
        <v>117.79999999995633</v>
      </c>
      <c r="S231" s="1054">
        <f t="shared" si="71"/>
        <v>124.13333333339156</v>
      </c>
      <c r="T231" s="1055">
        <f t="shared" si="70"/>
        <v>101.33333333339155</v>
      </c>
      <c r="U231" s="1055">
        <f t="shared" si="70"/>
        <v>111.4666666666521</v>
      </c>
      <c r="V231" s="1055">
        <f t="shared" si="70"/>
        <v>117.79999999995633</v>
      </c>
      <c r="W231" s="1056">
        <f t="shared" si="70"/>
        <v>94.99999999995993</v>
      </c>
      <c r="X231" s="1056">
        <f t="shared" si="70"/>
        <v>105.13333333334789</v>
      </c>
      <c r="Y231" s="1056">
        <f t="shared" si="70"/>
        <v>111.4666666666521</v>
      </c>
      <c r="Z231" s="1057">
        <f t="shared" si="70"/>
        <v>88.66666666665502</v>
      </c>
      <c r="AA231" s="1057">
        <f t="shared" si="70"/>
        <v>98.80000000004306</v>
      </c>
      <c r="AB231" s="1057">
        <f t="shared" si="70"/>
        <v>105.13333333334789</v>
      </c>
      <c r="AC231" s="1058">
        <f t="shared" si="70"/>
        <v>82.33333333334309</v>
      </c>
      <c r="AD231" s="1058">
        <f t="shared" si="70"/>
        <v>92.46666666661694</v>
      </c>
      <c r="AE231" s="1058">
        <f t="shared" si="70"/>
        <v>98.80000000004306</v>
      </c>
      <c r="AF231" s="1059">
        <f t="shared" si="70"/>
        <v>76.00000000002237</v>
      </c>
      <c r="AG231" s="1059">
        <f t="shared" si="70"/>
        <v>86.13333333331143</v>
      </c>
      <c r="AH231" s="1059">
        <f t="shared" si="72"/>
        <v>92.46666666661694</v>
      </c>
      <c r="AI231" s="1060">
        <f t="shared" si="72"/>
        <v>69.66666666665274</v>
      </c>
      <c r="AJ231" s="1060">
        <f t="shared" si="72"/>
        <v>79.80000000000001</v>
      </c>
      <c r="AK231" s="1060">
        <f t="shared" si="72"/>
        <v>86.13333333331143</v>
      </c>
    </row>
    <row r="232" spans="8:8" ht="15.75" customHeight="1">
      <c r="D232" s="1049">
        <f t="shared" si="66"/>
        <v>0.6361111111111548</v>
      </c>
      <c r="E232" s="1050">
        <f t="shared" si="64"/>
        <v>181.92777777779028</v>
      </c>
      <c r="F232" s="1050">
        <f t="shared" si="73"/>
        <v>192.10555555556874</v>
      </c>
      <c r="G232" s="1050">
        <f t="shared" si="73"/>
        <v>198.4666666666803</v>
      </c>
      <c r="H232" s="1051">
        <f t="shared" si="69"/>
        <v>169.2055555555411</v>
      </c>
      <c r="I232" s="1051">
        <f t="shared" si="69"/>
        <v>179.38333333337667</v>
      </c>
      <c r="J232" s="1051">
        <f t="shared" si="69"/>
        <v>185.7444444444589</v>
      </c>
      <c r="K232" s="1052">
        <f t="shared" si="69"/>
        <v>156.48333333337666</v>
      </c>
      <c r="L232" s="1052">
        <f t="shared" si="69"/>
        <v>166.66111111108222</v>
      </c>
      <c r="M232" s="1052">
        <f t="shared" si="69"/>
        <v>173.02222222217344</v>
      </c>
      <c r="N232" s="1053">
        <f t="shared" si="69"/>
        <v>114.5</v>
      </c>
      <c r="O232" s="1053">
        <f t="shared" si="69"/>
        <v>124.67777777783556</v>
      </c>
      <c r="P232" s="1053">
        <f t="shared" si="69"/>
        <v>131.03888888891777</v>
      </c>
      <c r="Q232" s="1054">
        <f t="shared" si="69"/>
        <v>108.13888888891778</v>
      </c>
      <c r="R232" s="1054">
        <f t="shared" si="74" ref="R232:T247">R233-(R$363/360)</f>
        <v>118.31666666662333</v>
      </c>
      <c r="S232" s="1054">
        <f t="shared" si="74"/>
        <v>124.67777777783556</v>
      </c>
      <c r="T232" s="1055">
        <f t="shared" si="70"/>
        <v>101.77777777783555</v>
      </c>
      <c r="U232" s="1055">
        <f t="shared" si="70"/>
        <v>111.95555555554111</v>
      </c>
      <c r="V232" s="1055">
        <f t="shared" si="70"/>
        <v>118.31666666662333</v>
      </c>
      <c r="W232" s="1056">
        <f t="shared" si="70"/>
        <v>95.41666666662663</v>
      </c>
      <c r="X232" s="1056">
        <f t="shared" si="70"/>
        <v>105.59444444445889</v>
      </c>
      <c r="Y232" s="1056">
        <f t="shared" si="70"/>
        <v>111.95555555554111</v>
      </c>
      <c r="Z232" s="1057">
        <f t="shared" si="70"/>
        <v>89.05555555554392</v>
      </c>
      <c r="AA232" s="1057">
        <f t="shared" si="70"/>
        <v>99.23333333337636</v>
      </c>
      <c r="AB232" s="1057">
        <f t="shared" si="70"/>
        <v>105.59444444445889</v>
      </c>
      <c r="AC232" s="1058">
        <f t="shared" si="70"/>
        <v>82.69444444445419</v>
      </c>
      <c r="AD232" s="1058">
        <f t="shared" si="70"/>
        <v>92.87222222217245</v>
      </c>
      <c r="AE232" s="1058">
        <f t="shared" si="70"/>
        <v>99.23333333337636</v>
      </c>
      <c r="AF232" s="1059">
        <f t="shared" si="70"/>
        <v>76.33333333335567</v>
      </c>
      <c r="AG232" s="1059">
        <f t="shared" si="70"/>
        <v>86.51111111108922</v>
      </c>
      <c r="AH232" s="1059">
        <f t="shared" si="72"/>
        <v>92.87222222217245</v>
      </c>
      <c r="AI232" s="1060">
        <f t="shared" si="72"/>
        <v>69.97222222220825</v>
      </c>
      <c r="AJ232" s="1060">
        <f t="shared" si="72"/>
        <v>80.15</v>
      </c>
      <c r="AK232" s="1060">
        <f t="shared" si="72"/>
        <v>86.51111111108922</v>
      </c>
    </row>
    <row r="233" spans="8:8" ht="15.75" customHeight="1">
      <c r="D233" s="1049">
        <f t="shared" si="66"/>
        <v>0.6388888888889328</v>
      </c>
      <c r="E233" s="1050">
        <f t="shared" si="64"/>
        <v>182.7222222222348</v>
      </c>
      <c r="F233" s="1050">
        <f t="shared" si="73"/>
        <v>192.9444444444577</v>
      </c>
      <c r="G233" s="1050">
        <f t="shared" si="73"/>
        <v>199.33333333334704</v>
      </c>
      <c r="H233" s="1051">
        <f t="shared" si="69"/>
        <v>169.94444444443013</v>
      </c>
      <c r="I233" s="1051">
        <f t="shared" si="69"/>
        <v>180.16666666670966</v>
      </c>
      <c r="J233" s="1051">
        <f t="shared" si="69"/>
        <v>186.5555555555699</v>
      </c>
      <c r="K233" s="1052">
        <f t="shared" si="69"/>
        <v>157.16666666670966</v>
      </c>
      <c r="L233" s="1052">
        <f t="shared" si="69"/>
        <v>167.3888888888602</v>
      </c>
      <c r="M233" s="1052">
        <f t="shared" si="69"/>
        <v>173.77777777772943</v>
      </c>
      <c r="N233" s="1053">
        <f t="shared" si="69"/>
        <v>115.0</v>
      </c>
      <c r="O233" s="1053">
        <f t="shared" si="69"/>
        <v>125.22222222227957</v>
      </c>
      <c r="P233" s="1053">
        <f t="shared" si="69"/>
        <v>131.61111111113976</v>
      </c>
      <c r="Q233" s="1054">
        <f t="shared" si="69"/>
        <v>108.61111111113978</v>
      </c>
      <c r="R233" s="1054">
        <f t="shared" si="74"/>
        <v>118.83333333329034</v>
      </c>
      <c r="S233" s="1054">
        <f t="shared" si="74"/>
        <v>125.22222222227957</v>
      </c>
      <c r="T233" s="1055">
        <f t="shared" si="70"/>
        <v>102.22222222227956</v>
      </c>
      <c r="U233" s="1055">
        <f t="shared" si="70"/>
        <v>112.4444444444301</v>
      </c>
      <c r="V233" s="1055">
        <f t="shared" si="70"/>
        <v>118.83333333329034</v>
      </c>
      <c r="W233" s="1056">
        <f t="shared" si="70"/>
        <v>95.83333333329333</v>
      </c>
      <c r="X233" s="1056">
        <f t="shared" si="70"/>
        <v>106.0555555555699</v>
      </c>
      <c r="Y233" s="1056">
        <f t="shared" si="70"/>
        <v>112.4444444444301</v>
      </c>
      <c r="Z233" s="1057">
        <f t="shared" si="70"/>
        <v>89.44444444443282</v>
      </c>
      <c r="AA233" s="1057">
        <f t="shared" si="70"/>
        <v>99.66666666670966</v>
      </c>
      <c r="AB233" s="1057">
        <f t="shared" si="70"/>
        <v>106.0555555555699</v>
      </c>
      <c r="AC233" s="1058">
        <f t="shared" si="70"/>
        <v>83.05555555556529</v>
      </c>
      <c r="AD233" s="1058">
        <f t="shared" si="70"/>
        <v>93.27777777772795</v>
      </c>
      <c r="AE233" s="1058">
        <f t="shared" si="70"/>
        <v>99.66666666670966</v>
      </c>
      <c r="AF233" s="1059">
        <f t="shared" si="70"/>
        <v>76.66666666668897</v>
      </c>
      <c r="AG233" s="1059">
        <f t="shared" si="70"/>
        <v>86.88888888886702</v>
      </c>
      <c r="AH233" s="1059">
        <f t="shared" si="72"/>
        <v>93.27777777772795</v>
      </c>
      <c r="AI233" s="1060">
        <f t="shared" si="72"/>
        <v>70.27777777776384</v>
      </c>
      <c r="AJ233" s="1060">
        <f t="shared" si="72"/>
        <v>80.5</v>
      </c>
      <c r="AK233" s="1060">
        <f t="shared" si="72"/>
        <v>86.88888888886702</v>
      </c>
    </row>
    <row r="234" spans="8:8" ht="15.75" customHeight="1">
      <c r="D234" s="1049">
        <f t="shared" si="66"/>
        <v>0.6416666666667108</v>
      </c>
      <c r="E234" s="1050">
        <f t="shared" si="64"/>
        <v>183.5166666666793</v>
      </c>
      <c r="F234" s="1050">
        <f t="shared" si="73"/>
        <v>193.78333333334666</v>
      </c>
      <c r="G234" s="1050">
        <f t="shared" si="73"/>
        <v>200.20000000001377</v>
      </c>
      <c r="H234" s="1051">
        <f t="shared" si="75" ref="H234:Q253">H235-(H$363/360)</f>
        <v>170.68333333331913</v>
      </c>
      <c r="I234" s="1051">
        <f t="shared" si="75"/>
        <v>180.95000000004268</v>
      </c>
      <c r="J234" s="1051">
        <f t="shared" si="75"/>
        <v>187.36666666668089</v>
      </c>
      <c r="K234" s="1052">
        <f t="shared" si="75"/>
        <v>157.85000000004266</v>
      </c>
      <c r="L234" s="1052">
        <f t="shared" si="75"/>
        <v>168.11666666663822</v>
      </c>
      <c r="M234" s="1052">
        <f t="shared" si="75"/>
        <v>174.53333333328544</v>
      </c>
      <c r="N234" s="1053">
        <f t="shared" si="75"/>
        <v>115.5</v>
      </c>
      <c r="O234" s="1053">
        <f t="shared" si="75"/>
        <v>125.76666666672357</v>
      </c>
      <c r="P234" s="1053">
        <f t="shared" si="75"/>
        <v>132.1833333333618</v>
      </c>
      <c r="Q234" s="1054">
        <f t="shared" si="75"/>
        <v>109.08333333336176</v>
      </c>
      <c r="R234" s="1054">
        <f t="shared" si="74"/>
        <v>119.34999999995733</v>
      </c>
      <c r="S234" s="1054">
        <f t="shared" si="74"/>
        <v>125.76666666672357</v>
      </c>
      <c r="T234" s="1055">
        <f t="shared" si="70"/>
        <v>102.66666666672356</v>
      </c>
      <c r="U234" s="1055">
        <f t="shared" si="70"/>
        <v>112.93333333331911</v>
      </c>
      <c r="V234" s="1055">
        <f t="shared" si="70"/>
        <v>119.34999999995733</v>
      </c>
      <c r="W234" s="1056">
        <f t="shared" si="70"/>
        <v>96.24999999996002</v>
      </c>
      <c r="X234" s="1056">
        <f t="shared" si="70"/>
        <v>106.51666666668089</v>
      </c>
      <c r="Y234" s="1056">
        <f t="shared" si="70"/>
        <v>112.93333333331911</v>
      </c>
      <c r="Z234" s="1057">
        <f t="shared" si="70"/>
        <v>89.83333333332172</v>
      </c>
      <c r="AA234" s="1057">
        <f t="shared" si="70"/>
        <v>100.10000000004267</v>
      </c>
      <c r="AB234" s="1057">
        <f t="shared" si="70"/>
        <v>106.51666666668089</v>
      </c>
      <c r="AC234" s="1058">
        <f t="shared" si="70"/>
        <v>83.41666666667639</v>
      </c>
      <c r="AD234" s="1058">
        <f t="shared" si="70"/>
        <v>93.68333333328354</v>
      </c>
      <c r="AE234" s="1058">
        <f t="shared" si="70"/>
        <v>100.10000000004267</v>
      </c>
      <c r="AF234" s="1059">
        <f t="shared" si="70"/>
        <v>77.00000000002227</v>
      </c>
      <c r="AG234" s="1059">
        <f t="shared" si="70"/>
        <v>87.26666666664482</v>
      </c>
      <c r="AH234" s="1059">
        <f t="shared" si="72"/>
        <v>93.68333333328354</v>
      </c>
      <c r="AI234" s="1060">
        <f t="shared" si="72"/>
        <v>70.58333333331935</v>
      </c>
      <c r="AJ234" s="1060">
        <f t="shared" si="72"/>
        <v>80.85000000000001</v>
      </c>
      <c r="AK234" s="1060">
        <f t="shared" si="72"/>
        <v>87.26666666664482</v>
      </c>
    </row>
    <row r="235" spans="8:8" ht="15.75" customHeight="1">
      <c r="D235" s="1049">
        <f t="shared" si="66"/>
        <v>0.6444444444444888</v>
      </c>
      <c r="E235" s="1050">
        <f t="shared" si="64"/>
        <v>184.31111111112378</v>
      </c>
      <c r="F235" s="1050">
        <f t="shared" si="73"/>
        <v>194.62222222223562</v>
      </c>
      <c r="G235" s="1050">
        <f t="shared" si="73"/>
        <v>201.0666666666805</v>
      </c>
      <c r="H235" s="1051">
        <f t="shared" si="75"/>
        <v>171.42222222220812</v>
      </c>
      <c r="I235" s="1051">
        <f t="shared" si="75"/>
        <v>181.73333333337567</v>
      </c>
      <c r="J235" s="1051">
        <f t="shared" si="75"/>
        <v>188.1777777777919</v>
      </c>
      <c r="K235" s="1052">
        <f t="shared" si="75"/>
        <v>158.53333333337565</v>
      </c>
      <c r="L235" s="1052">
        <f t="shared" si="75"/>
        <v>168.8444444444162</v>
      </c>
      <c r="M235" s="1052">
        <f t="shared" si="75"/>
        <v>175.28888888884143</v>
      </c>
      <c r="N235" s="1053">
        <f t="shared" si="75"/>
        <v>116.0</v>
      </c>
      <c r="O235" s="1053">
        <f t="shared" si="75"/>
        <v>126.31111111116756</v>
      </c>
      <c r="P235" s="1053">
        <f t="shared" si="75"/>
        <v>132.75555555558378</v>
      </c>
      <c r="Q235" s="1054">
        <f t="shared" si="75"/>
        <v>109.55555555558377</v>
      </c>
      <c r="R235" s="1054">
        <f t="shared" si="74"/>
        <v>119.86666666662434</v>
      </c>
      <c r="S235" s="1054">
        <f t="shared" si="74"/>
        <v>126.31111111116756</v>
      </c>
      <c r="T235" s="1055">
        <f t="shared" si="70"/>
        <v>103.11111111116756</v>
      </c>
      <c r="U235" s="1055">
        <f t="shared" si="70"/>
        <v>113.4222222222081</v>
      </c>
      <c r="V235" s="1055">
        <f t="shared" si="70"/>
        <v>119.86666666662434</v>
      </c>
      <c r="W235" s="1056">
        <f t="shared" si="70"/>
        <v>96.66666666662672</v>
      </c>
      <c r="X235" s="1056">
        <f t="shared" si="70"/>
        <v>106.97777777779189</v>
      </c>
      <c r="Y235" s="1056">
        <f t="shared" si="70"/>
        <v>113.4222222222081</v>
      </c>
      <c r="Z235" s="1057">
        <f t="shared" si="70"/>
        <v>90.22222222221062</v>
      </c>
      <c r="AA235" s="1057">
        <f t="shared" si="70"/>
        <v>100.53333333337567</v>
      </c>
      <c r="AB235" s="1057">
        <f t="shared" si="70"/>
        <v>106.97777777779189</v>
      </c>
      <c r="AC235" s="1058">
        <f t="shared" si="70"/>
        <v>83.77777777778749</v>
      </c>
      <c r="AD235" s="1058">
        <f t="shared" si="70"/>
        <v>94.08888888883905</v>
      </c>
      <c r="AE235" s="1058">
        <f t="shared" si="70"/>
        <v>100.53333333337567</v>
      </c>
      <c r="AF235" s="1059">
        <f t="shared" si="70"/>
        <v>77.33333333335557</v>
      </c>
      <c r="AG235" s="1059">
        <f t="shared" si="70"/>
        <v>87.64444444442262</v>
      </c>
      <c r="AH235" s="1059">
        <f t="shared" si="72"/>
        <v>94.08888888883905</v>
      </c>
      <c r="AI235" s="1060">
        <f t="shared" si="72"/>
        <v>70.88888888887494</v>
      </c>
      <c r="AJ235" s="1060">
        <f t="shared" si="72"/>
        <v>81.2</v>
      </c>
      <c r="AK235" s="1060">
        <f t="shared" si="72"/>
        <v>87.64444444442262</v>
      </c>
    </row>
    <row r="236" spans="8:8" ht="15.75" customHeight="1">
      <c r="D236" s="1049">
        <f t="shared" si="66"/>
        <v>0.6472222222222668</v>
      </c>
      <c r="E236" s="1050">
        <f t="shared" si="64"/>
        <v>185.1055555555683</v>
      </c>
      <c r="F236" s="1050">
        <f t="shared" si="73"/>
        <v>195.46111111112455</v>
      </c>
      <c r="G236" s="1050">
        <f t="shared" si="73"/>
        <v>201.93333333334724</v>
      </c>
      <c r="H236" s="1051">
        <f t="shared" si="75"/>
        <v>172.1611111110971</v>
      </c>
      <c r="I236" s="1051">
        <f t="shared" si="75"/>
        <v>182.51666666670866</v>
      </c>
      <c r="J236" s="1051">
        <f t="shared" si="75"/>
        <v>188.9888888889029</v>
      </c>
      <c r="K236" s="1052">
        <f t="shared" si="75"/>
        <v>159.21666666670868</v>
      </c>
      <c r="L236" s="1052">
        <f t="shared" si="75"/>
        <v>169.5722222221942</v>
      </c>
      <c r="M236" s="1052">
        <f t="shared" si="75"/>
        <v>176.04444444439744</v>
      </c>
      <c r="N236" s="1053">
        <f t="shared" si="75"/>
        <v>116.5</v>
      </c>
      <c r="O236" s="1053">
        <f t="shared" si="75"/>
        <v>126.85555555561156</v>
      </c>
      <c r="P236" s="1053">
        <f t="shared" si="75"/>
        <v>133.32777777780578</v>
      </c>
      <c r="Q236" s="1054">
        <f t="shared" si="75"/>
        <v>110.02777777780577</v>
      </c>
      <c r="R236" s="1054">
        <f t="shared" si="74"/>
        <v>120.38333333329133</v>
      </c>
      <c r="S236" s="1054">
        <f t="shared" si="74"/>
        <v>126.85555555561156</v>
      </c>
      <c r="T236" s="1055">
        <f t="shared" si="70"/>
        <v>103.55555555561156</v>
      </c>
      <c r="U236" s="1055">
        <f t="shared" si="70"/>
        <v>113.9111111110971</v>
      </c>
      <c r="V236" s="1055">
        <f t="shared" si="70"/>
        <v>120.38333333329133</v>
      </c>
      <c r="W236" s="1056">
        <f t="shared" si="70"/>
        <v>97.08333333329342</v>
      </c>
      <c r="X236" s="1056">
        <f t="shared" si="70"/>
        <v>107.4388888889029</v>
      </c>
      <c r="Y236" s="1056">
        <f t="shared" si="70"/>
        <v>113.9111111110971</v>
      </c>
      <c r="Z236" s="1057">
        <f t="shared" si="70"/>
        <v>90.61111111109952</v>
      </c>
      <c r="AA236" s="1057">
        <f t="shared" si="70"/>
        <v>100.96666666670866</v>
      </c>
      <c r="AB236" s="1057">
        <f t="shared" si="70"/>
        <v>107.4388888889029</v>
      </c>
      <c r="AC236" s="1058">
        <f t="shared" si="70"/>
        <v>84.13888888889859</v>
      </c>
      <c r="AD236" s="1058">
        <f t="shared" si="70"/>
        <v>94.49444444439455</v>
      </c>
      <c r="AE236" s="1058">
        <f t="shared" si="70"/>
        <v>100.96666666670866</v>
      </c>
      <c r="AF236" s="1059">
        <f t="shared" si="70"/>
        <v>77.66666666668887</v>
      </c>
      <c r="AG236" s="1059">
        <f t="shared" si="70"/>
        <v>88.02222222220043</v>
      </c>
      <c r="AH236" s="1059">
        <f t="shared" si="72"/>
        <v>94.49444444439455</v>
      </c>
      <c r="AI236" s="1060">
        <f t="shared" si="72"/>
        <v>71.19444444443045</v>
      </c>
      <c r="AJ236" s="1060">
        <f t="shared" si="72"/>
        <v>81.55000000000001</v>
      </c>
      <c r="AK236" s="1060">
        <f t="shared" si="72"/>
        <v>88.02222222220043</v>
      </c>
    </row>
    <row r="237" spans="8:8" ht="15.75" customHeight="1">
      <c r="D237" s="1049">
        <f t="shared" si="66"/>
        <v>0.6500000000000448</v>
      </c>
      <c r="E237" s="1050">
        <f t="shared" si="64"/>
        <v>185.9000000000128</v>
      </c>
      <c r="F237" s="1050">
        <f t="shared" si="73"/>
        <v>196.3000000000135</v>
      </c>
      <c r="G237" s="1050">
        <f t="shared" si="73"/>
        <v>202.80000000001397</v>
      </c>
      <c r="H237" s="1051">
        <f t="shared" si="75"/>
        <v>172.8999999999861</v>
      </c>
      <c r="I237" s="1051">
        <f t="shared" si="75"/>
        <v>183.30000000004168</v>
      </c>
      <c r="J237" s="1051">
        <f t="shared" si="75"/>
        <v>189.8000000000139</v>
      </c>
      <c r="K237" s="1052">
        <f t="shared" si="75"/>
        <v>159.90000000004167</v>
      </c>
      <c r="L237" s="1052">
        <f t="shared" si="75"/>
        <v>170.29999999997221</v>
      </c>
      <c r="M237" s="1052">
        <f t="shared" si="75"/>
        <v>176.79999999995343</v>
      </c>
      <c r="N237" s="1053">
        <f t="shared" si="75"/>
        <v>117.0</v>
      </c>
      <c r="O237" s="1053">
        <f t="shared" si="75"/>
        <v>127.40000000005556</v>
      </c>
      <c r="P237" s="1053">
        <f t="shared" si="75"/>
        <v>133.90000000002777</v>
      </c>
      <c r="Q237" s="1054">
        <f t="shared" si="75"/>
        <v>110.50000000002777</v>
      </c>
      <c r="R237" s="1054">
        <f t="shared" si="74"/>
        <v>120.89999999995834</v>
      </c>
      <c r="S237" s="1054">
        <f t="shared" si="74"/>
        <v>127.40000000005556</v>
      </c>
      <c r="T237" s="1055">
        <f t="shared" si="70"/>
        <v>104.00000000005555</v>
      </c>
      <c r="U237" s="1055">
        <f t="shared" si="70"/>
        <v>114.39999999998611</v>
      </c>
      <c r="V237" s="1055">
        <f t="shared" si="70"/>
        <v>120.89999999995834</v>
      </c>
      <c r="W237" s="1056">
        <f t="shared" si="70"/>
        <v>97.49999999996012</v>
      </c>
      <c r="X237" s="1056">
        <f t="shared" si="70"/>
        <v>107.90000000001389</v>
      </c>
      <c r="Y237" s="1056">
        <f t="shared" si="70"/>
        <v>114.39999999998611</v>
      </c>
      <c r="Z237" s="1057">
        <f t="shared" si="70"/>
        <v>90.99999999998842</v>
      </c>
      <c r="AA237" s="1057">
        <f t="shared" si="70"/>
        <v>101.40000000004166</v>
      </c>
      <c r="AB237" s="1057">
        <f t="shared" si="70"/>
        <v>107.90000000001389</v>
      </c>
      <c r="AC237" s="1058">
        <f t="shared" si="70"/>
        <v>84.50000000000969</v>
      </c>
      <c r="AD237" s="1058">
        <f t="shared" si="70"/>
        <v>94.89999999995005</v>
      </c>
      <c r="AE237" s="1058">
        <f t="shared" si="70"/>
        <v>101.40000000004166</v>
      </c>
      <c r="AF237" s="1059">
        <f t="shared" si="70"/>
        <v>78.00000000002217</v>
      </c>
      <c r="AG237" s="1059">
        <f t="shared" si="70"/>
        <v>88.39999999997822</v>
      </c>
      <c r="AH237" s="1059">
        <f t="shared" si="72"/>
        <v>94.89999999995005</v>
      </c>
      <c r="AI237" s="1060">
        <f t="shared" si="72"/>
        <v>71.49999999998604</v>
      </c>
      <c r="AJ237" s="1060">
        <f t="shared" si="72"/>
        <v>81.9</v>
      </c>
      <c r="AK237" s="1060">
        <f t="shared" si="72"/>
        <v>88.39999999997822</v>
      </c>
    </row>
    <row r="238" spans="8:8" ht="15.75" customHeight="1">
      <c r="D238" s="1049">
        <f t="shared" si="66"/>
        <v>0.6527777777778228</v>
      </c>
      <c r="E238" s="1050">
        <f t="shared" si="64"/>
        <v>186.6944444444573</v>
      </c>
      <c r="F238" s="1050">
        <f t="shared" si="73"/>
        <v>197.13888888890247</v>
      </c>
      <c r="G238" s="1050">
        <f t="shared" si="73"/>
        <v>203.6666666666807</v>
      </c>
      <c r="H238" s="1051">
        <f t="shared" si="75"/>
        <v>173.63888888887513</v>
      </c>
      <c r="I238" s="1051">
        <f t="shared" si="75"/>
        <v>184.08333333337467</v>
      </c>
      <c r="J238" s="1051">
        <f t="shared" si="75"/>
        <v>190.6111111111249</v>
      </c>
      <c r="K238" s="1052">
        <f t="shared" si="75"/>
        <v>160.58333333337467</v>
      </c>
      <c r="L238" s="1052">
        <f t="shared" si="75"/>
        <v>171.0277777777502</v>
      </c>
      <c r="M238" s="1052">
        <f t="shared" si="75"/>
        <v>177.55555555550944</v>
      </c>
      <c r="N238" s="1053">
        <f t="shared" si="75"/>
        <v>117.5</v>
      </c>
      <c r="O238" s="1053">
        <f t="shared" si="75"/>
        <v>127.94444444449955</v>
      </c>
      <c r="P238" s="1053">
        <f t="shared" si="75"/>
        <v>134.47222222224977</v>
      </c>
      <c r="Q238" s="1054">
        <f t="shared" si="75"/>
        <v>110.97222222224977</v>
      </c>
      <c r="R238" s="1054">
        <f t="shared" si="74"/>
        <v>121.41666666662533</v>
      </c>
      <c r="S238" s="1054">
        <f t="shared" si="74"/>
        <v>127.94444444449955</v>
      </c>
      <c r="T238" s="1055">
        <f t="shared" si="70"/>
        <v>104.44444444449955</v>
      </c>
      <c r="U238" s="1055">
        <f t="shared" si="70"/>
        <v>114.8888888888751</v>
      </c>
      <c r="V238" s="1055">
        <f t="shared" si="70"/>
        <v>121.41666666662533</v>
      </c>
      <c r="W238" s="1056">
        <f t="shared" si="70"/>
        <v>97.91666666662682</v>
      </c>
      <c r="X238" s="1056">
        <f t="shared" si="70"/>
        <v>108.36111111112488</v>
      </c>
      <c r="Y238" s="1056">
        <f t="shared" si="70"/>
        <v>114.8888888888751</v>
      </c>
      <c r="Z238" s="1057">
        <f t="shared" si="70"/>
        <v>91.38888888887732</v>
      </c>
      <c r="AA238" s="1057">
        <f t="shared" si="70"/>
        <v>101.83333333337467</v>
      </c>
      <c r="AB238" s="1057">
        <f t="shared" si="70"/>
        <v>108.36111111112488</v>
      </c>
      <c r="AC238" s="1058">
        <f t="shared" si="70"/>
        <v>84.86111111112079</v>
      </c>
      <c r="AD238" s="1058">
        <f t="shared" si="70"/>
        <v>95.30555555550555</v>
      </c>
      <c r="AE238" s="1058">
        <f t="shared" si="70"/>
        <v>101.83333333337467</v>
      </c>
      <c r="AF238" s="1059">
        <f t="shared" si="70"/>
        <v>78.33333333335547</v>
      </c>
      <c r="AG238" s="1059">
        <f t="shared" si="70"/>
        <v>88.77777777775601</v>
      </c>
      <c r="AH238" s="1059">
        <f t="shared" si="72"/>
        <v>95.30555555550555</v>
      </c>
      <c r="AI238" s="1060">
        <f t="shared" si="72"/>
        <v>71.80555555554155</v>
      </c>
      <c r="AJ238" s="1060">
        <f t="shared" si="72"/>
        <v>82.25</v>
      </c>
      <c r="AK238" s="1060">
        <f t="shared" si="72"/>
        <v>88.77777777775601</v>
      </c>
    </row>
    <row r="239" spans="8:8" ht="15.75" customHeight="1">
      <c r="D239" s="1049">
        <f t="shared" si="66"/>
        <v>0.6555555555556007</v>
      </c>
      <c r="E239" s="1050">
        <f t="shared" si="64"/>
        <v>187.4888888889018</v>
      </c>
      <c r="F239" s="1050">
        <f t="shared" si="73"/>
        <v>197.97777777779143</v>
      </c>
      <c r="G239" s="1050">
        <f t="shared" si="73"/>
        <v>204.53333333334743</v>
      </c>
      <c r="H239" s="1051">
        <f t="shared" si="75"/>
        <v>174.37777777776412</v>
      </c>
      <c r="I239" s="1051">
        <f t="shared" si="75"/>
        <v>184.86666666670766</v>
      </c>
      <c r="J239" s="1051">
        <f t="shared" si="75"/>
        <v>191.4222222222359</v>
      </c>
      <c r="K239" s="1052">
        <f t="shared" si="75"/>
        <v>161.26666666670766</v>
      </c>
      <c r="L239" s="1052">
        <f t="shared" si="75"/>
        <v>171.75555555552822</v>
      </c>
      <c r="M239" s="1052">
        <f t="shared" si="75"/>
        <v>178.31111111106543</v>
      </c>
      <c r="N239" s="1053">
        <f t="shared" si="75"/>
        <v>118.0</v>
      </c>
      <c r="O239" s="1053">
        <f t="shared" si="75"/>
        <v>128.48888888894353</v>
      </c>
      <c r="P239" s="1053">
        <f t="shared" si="75"/>
        <v>135.04444444447176</v>
      </c>
      <c r="Q239" s="1054">
        <f t="shared" si="75"/>
        <v>111.44444444447177</v>
      </c>
      <c r="R239" s="1054">
        <f t="shared" si="74"/>
        <v>121.93333333329234</v>
      </c>
      <c r="S239" s="1054">
        <f t="shared" si="74"/>
        <v>128.48888888894353</v>
      </c>
      <c r="T239" s="1055">
        <f t="shared" si="70"/>
        <v>104.88888888894355</v>
      </c>
      <c r="U239" s="1055">
        <f t="shared" si="70"/>
        <v>115.37777777776411</v>
      </c>
      <c r="V239" s="1055">
        <f t="shared" si="70"/>
        <v>121.93333333329234</v>
      </c>
      <c r="W239" s="1056">
        <f t="shared" si="70"/>
        <v>98.33333333329352</v>
      </c>
      <c r="X239" s="1056">
        <f t="shared" si="70"/>
        <v>108.8222222222359</v>
      </c>
      <c r="Y239" s="1056">
        <f t="shared" si="70"/>
        <v>115.37777777776411</v>
      </c>
      <c r="Z239" s="1057">
        <f t="shared" si="70"/>
        <v>91.77777777776622</v>
      </c>
      <c r="AA239" s="1057">
        <f t="shared" si="70"/>
        <v>102.26666666670766</v>
      </c>
      <c r="AB239" s="1057">
        <f t="shared" si="70"/>
        <v>108.8222222222359</v>
      </c>
      <c r="AC239" s="1058">
        <f t="shared" si="70"/>
        <v>85.22222222223189</v>
      </c>
      <c r="AD239" s="1058">
        <f t="shared" si="70"/>
        <v>95.71111111106114</v>
      </c>
      <c r="AE239" s="1058">
        <f t="shared" si="70"/>
        <v>102.26666666670766</v>
      </c>
      <c r="AF239" s="1059">
        <f t="shared" si="70"/>
        <v>78.66666666668877</v>
      </c>
      <c r="AG239" s="1059">
        <f t="shared" si="70"/>
        <v>89.15555555553382</v>
      </c>
      <c r="AH239" s="1059">
        <f t="shared" si="72"/>
        <v>95.71111111106114</v>
      </c>
      <c r="AI239" s="1060">
        <f t="shared" si="72"/>
        <v>72.11111111109714</v>
      </c>
      <c r="AJ239" s="1060">
        <f t="shared" si="72"/>
        <v>82.60000000000001</v>
      </c>
      <c r="AK239" s="1060">
        <f t="shared" si="72"/>
        <v>89.15555555553382</v>
      </c>
    </row>
    <row r="240" spans="8:8" ht="15.75" customHeight="1">
      <c r="D240" s="1049">
        <f t="shared" si="66"/>
        <v>0.6583333333333787</v>
      </c>
      <c r="E240" s="1050">
        <f t="shared" si="64"/>
        <v>188.28333333334632</v>
      </c>
      <c r="F240" s="1050">
        <f t="shared" si="73"/>
        <v>198.8166666666804</v>
      </c>
      <c r="G240" s="1050">
        <f t="shared" si="73"/>
        <v>205.40000000001416</v>
      </c>
      <c r="H240" s="1051">
        <f t="shared" si="75"/>
        <v>175.11666666665312</v>
      </c>
      <c r="I240" s="1051">
        <f t="shared" si="75"/>
        <v>185.65000000004068</v>
      </c>
      <c r="J240" s="1051">
        <f t="shared" si="75"/>
        <v>192.2333333333469</v>
      </c>
      <c r="K240" s="1052">
        <f t="shared" si="75"/>
        <v>161.95000000004066</v>
      </c>
      <c r="L240" s="1052">
        <f t="shared" si="75"/>
        <v>172.4833333333062</v>
      </c>
      <c r="M240" s="1052">
        <f t="shared" si="75"/>
        <v>179.06666666662144</v>
      </c>
      <c r="N240" s="1053">
        <f t="shared" si="75"/>
        <v>118.5</v>
      </c>
      <c r="O240" s="1053">
        <f t="shared" si="75"/>
        <v>129.03333333338756</v>
      </c>
      <c r="P240" s="1053">
        <f t="shared" si="75"/>
        <v>135.6166666666938</v>
      </c>
      <c r="Q240" s="1054">
        <f t="shared" si="75"/>
        <v>111.91666666669377</v>
      </c>
      <c r="R240" s="1054">
        <f t="shared" si="74"/>
        <v>122.44999999995933</v>
      </c>
      <c r="S240" s="1054">
        <f t="shared" si="74"/>
        <v>129.03333333338756</v>
      </c>
      <c r="T240" s="1055">
        <f t="shared" si="70"/>
        <v>105.33333333338756</v>
      </c>
      <c r="U240" s="1055">
        <f t="shared" si="70"/>
        <v>115.8666666666531</v>
      </c>
      <c r="V240" s="1055">
        <f t="shared" si="70"/>
        <v>122.44999999995933</v>
      </c>
      <c r="W240" s="1056">
        <f t="shared" si="70"/>
        <v>98.74999999996022</v>
      </c>
      <c r="X240" s="1056">
        <f t="shared" si="70"/>
        <v>109.28333333334689</v>
      </c>
      <c r="Y240" s="1056">
        <f t="shared" si="70"/>
        <v>115.8666666666531</v>
      </c>
      <c r="Z240" s="1057">
        <f t="shared" si="70"/>
        <v>92.16666666665512</v>
      </c>
      <c r="AA240" s="1057">
        <f t="shared" si="70"/>
        <v>102.70000000004066</v>
      </c>
      <c r="AB240" s="1057">
        <f t="shared" si="70"/>
        <v>109.28333333334689</v>
      </c>
      <c r="AC240" s="1058">
        <f t="shared" si="70"/>
        <v>85.58333333334299</v>
      </c>
      <c r="AD240" s="1058">
        <f t="shared" si="70"/>
        <v>96.11666666661665</v>
      </c>
      <c r="AE240" s="1058">
        <f t="shared" si="70"/>
        <v>102.70000000004066</v>
      </c>
      <c r="AF240" s="1059">
        <f t="shared" si="70"/>
        <v>79.00000000002207</v>
      </c>
      <c r="AG240" s="1059">
        <f t="shared" si="70"/>
        <v>89.53333333331162</v>
      </c>
      <c r="AH240" s="1059">
        <f t="shared" si="72"/>
        <v>96.11666666661665</v>
      </c>
      <c r="AI240" s="1060">
        <f t="shared" si="72"/>
        <v>72.41666666665274</v>
      </c>
      <c r="AJ240" s="1060">
        <f t="shared" si="72"/>
        <v>82.95</v>
      </c>
      <c r="AK240" s="1060">
        <f t="shared" si="72"/>
        <v>89.53333333331162</v>
      </c>
    </row>
    <row r="241" spans="8:8" ht="15.75" customHeight="1">
      <c r="D241" s="1049">
        <f t="shared" si="66"/>
        <v>0.6611111111111567</v>
      </c>
      <c r="E241" s="1050">
        <f t="shared" si="64"/>
        <v>189.07777777779083</v>
      </c>
      <c r="F241" s="1050">
        <f t="shared" si="73"/>
        <v>199.65555555556932</v>
      </c>
      <c r="G241" s="1050">
        <f t="shared" si="73"/>
        <v>206.2666666666809</v>
      </c>
      <c r="H241" s="1051">
        <f t="shared" si="75"/>
        <v>175.8555555555421</v>
      </c>
      <c r="I241" s="1051">
        <f t="shared" si="75"/>
        <v>186.43333333337367</v>
      </c>
      <c r="J241" s="1051">
        <f t="shared" si="75"/>
        <v>193.0444444444579</v>
      </c>
      <c r="K241" s="1052">
        <f t="shared" si="75"/>
        <v>162.63333333337366</v>
      </c>
      <c r="L241" s="1052">
        <f t="shared" si="75"/>
        <v>173.21111111108422</v>
      </c>
      <c r="M241" s="1052">
        <f t="shared" si="75"/>
        <v>179.82222222217743</v>
      </c>
      <c r="N241" s="1053">
        <f t="shared" si="75"/>
        <v>119.0</v>
      </c>
      <c r="O241" s="1053">
        <f t="shared" si="75"/>
        <v>129.57777777783156</v>
      </c>
      <c r="P241" s="1053">
        <f t="shared" si="75"/>
        <v>136.18888888891578</v>
      </c>
      <c r="Q241" s="1054">
        <f t="shared" si="75"/>
        <v>112.38888888891577</v>
      </c>
      <c r="R241" s="1054">
        <f t="shared" si="74"/>
        <v>122.96666666662634</v>
      </c>
      <c r="S241" s="1054">
        <f t="shared" si="74"/>
        <v>129.57777777783156</v>
      </c>
      <c r="T241" s="1055">
        <f t="shared" si="70"/>
        <v>105.77777777783156</v>
      </c>
      <c r="U241" s="1055">
        <f t="shared" si="70"/>
        <v>116.35555555554211</v>
      </c>
      <c r="V241" s="1055">
        <f t="shared" si="70"/>
        <v>122.96666666662634</v>
      </c>
      <c r="W241" s="1056">
        <f t="shared" si="70"/>
        <v>99.16666666662692</v>
      </c>
      <c r="X241" s="1056">
        <f t="shared" si="70"/>
        <v>109.7444444444579</v>
      </c>
      <c r="Y241" s="1056">
        <f t="shared" si="70"/>
        <v>116.35555555554211</v>
      </c>
      <c r="Z241" s="1057">
        <f t="shared" si="70"/>
        <v>92.55555555554402</v>
      </c>
      <c r="AA241" s="1057">
        <f t="shared" si="70"/>
        <v>103.13333333337366</v>
      </c>
      <c r="AB241" s="1057">
        <f t="shared" si="70"/>
        <v>109.7444444444579</v>
      </c>
      <c r="AC241" s="1058">
        <f t="shared" si="70"/>
        <v>85.94444444445409</v>
      </c>
      <c r="AD241" s="1058">
        <f t="shared" si="70"/>
        <v>96.52222222217215</v>
      </c>
      <c r="AE241" s="1058">
        <f t="shared" si="70"/>
        <v>103.13333333337366</v>
      </c>
      <c r="AF241" s="1059">
        <f t="shared" si="70"/>
        <v>79.33333333335537</v>
      </c>
      <c r="AG241" s="1059">
        <f t="shared" si="70"/>
        <v>89.91111111108943</v>
      </c>
      <c r="AH241" s="1059">
        <f t="shared" si="72"/>
        <v>96.52222222217215</v>
      </c>
      <c r="AI241" s="1060">
        <f t="shared" si="72"/>
        <v>72.72222222220825</v>
      </c>
      <c r="AJ241" s="1060">
        <f t="shared" si="72"/>
        <v>83.30000000000001</v>
      </c>
      <c r="AK241" s="1060">
        <f t="shared" si="72"/>
        <v>89.91111111108943</v>
      </c>
    </row>
    <row r="242" spans="8:8" ht="15.75" customHeight="1">
      <c r="D242" s="1049">
        <f t="shared" si="66"/>
        <v>0.6638888888889347</v>
      </c>
      <c r="E242" s="1050">
        <f t="shared" si="64"/>
        <v>189.87222222223534</v>
      </c>
      <c r="F242" s="1050">
        <f t="shared" si="73"/>
        <v>200.49444444445828</v>
      </c>
      <c r="G242" s="1050">
        <f t="shared" si="73"/>
        <v>207.13333333334762</v>
      </c>
      <c r="H242" s="1051">
        <f t="shared" si="75"/>
        <v>176.59444444443113</v>
      </c>
      <c r="I242" s="1051">
        <f t="shared" si="75"/>
        <v>187.21666666670666</v>
      </c>
      <c r="J242" s="1051">
        <f t="shared" si="75"/>
        <v>193.85555555556888</v>
      </c>
      <c r="K242" s="1052">
        <f t="shared" si="75"/>
        <v>163.31666666670665</v>
      </c>
      <c r="L242" s="1052">
        <f t="shared" si="75"/>
        <v>173.9388888888622</v>
      </c>
      <c r="M242" s="1052">
        <f t="shared" si="75"/>
        <v>180.57777777773344</v>
      </c>
      <c r="N242" s="1053">
        <f t="shared" si="75"/>
        <v>119.5</v>
      </c>
      <c r="O242" s="1053">
        <f t="shared" si="75"/>
        <v>130.12222222227555</v>
      </c>
      <c r="P242" s="1053">
        <f t="shared" si="75"/>
        <v>136.76111111113778</v>
      </c>
      <c r="Q242" s="1054">
        <f t="shared" si="75"/>
        <v>112.86111111113777</v>
      </c>
      <c r="R242" s="1054">
        <f t="shared" si="74"/>
        <v>123.48333333329333</v>
      </c>
      <c r="S242" s="1054">
        <f t="shared" si="74"/>
        <v>130.12222222227555</v>
      </c>
      <c r="T242" s="1055">
        <f t="shared" si="70"/>
        <v>106.22222222227556</v>
      </c>
      <c r="U242" s="1055">
        <f t="shared" si="70"/>
        <v>116.8444444444311</v>
      </c>
      <c r="V242" s="1055">
        <f t="shared" si="70"/>
        <v>123.48333333329333</v>
      </c>
      <c r="W242" s="1056">
        <f t="shared" si="70"/>
        <v>99.58333333329362</v>
      </c>
      <c r="X242" s="1056">
        <f t="shared" si="70"/>
        <v>110.20555555556889</v>
      </c>
      <c r="Y242" s="1056">
        <f t="shared" si="70"/>
        <v>116.8444444444311</v>
      </c>
      <c r="Z242" s="1057">
        <f t="shared" si="70"/>
        <v>92.94444444443292</v>
      </c>
      <c r="AA242" s="1057">
        <f t="shared" si="70"/>
        <v>103.56666666670667</v>
      </c>
      <c r="AB242" s="1057">
        <f t="shared" si="70"/>
        <v>110.20555555556889</v>
      </c>
      <c r="AC242" s="1058">
        <f t="shared" si="70"/>
        <v>86.30555555556519</v>
      </c>
      <c r="AD242" s="1058">
        <f t="shared" si="70"/>
        <v>96.92777777772766</v>
      </c>
      <c r="AE242" s="1058">
        <f t="shared" si="70"/>
        <v>103.56666666670667</v>
      </c>
      <c r="AF242" s="1059">
        <f t="shared" si="70"/>
        <v>79.66666666668867</v>
      </c>
      <c r="AG242" s="1059">
        <f t="shared" si="70"/>
        <v>90.28888888886722</v>
      </c>
      <c r="AH242" s="1059">
        <f t="shared" si="72"/>
        <v>96.92777777772766</v>
      </c>
      <c r="AI242" s="1060">
        <f t="shared" si="72"/>
        <v>73.02777777776384</v>
      </c>
      <c r="AJ242" s="1060">
        <f t="shared" si="72"/>
        <v>83.65</v>
      </c>
      <c r="AK242" s="1060">
        <f t="shared" si="72"/>
        <v>90.28888888886722</v>
      </c>
    </row>
    <row r="243" spans="8:8" ht="15.75" customHeight="1">
      <c r="D243" s="1049">
        <f t="shared" si="66"/>
        <v>0.6666666666667128</v>
      </c>
      <c r="E243" s="1050">
        <f t="shared" si="64"/>
        <v>190.66666666667987</v>
      </c>
      <c r="F243" s="1050">
        <f t="shared" si="73"/>
        <v>201.33333333334727</v>
      </c>
      <c r="G243" s="1050">
        <f t="shared" si="73"/>
        <v>208.0000000000144</v>
      </c>
      <c r="H243" s="1051">
        <f t="shared" si="75"/>
        <v>177.33333333332013</v>
      </c>
      <c r="I243" s="1051">
        <f t="shared" si="75"/>
        <v>188.00000000003968</v>
      </c>
      <c r="J243" s="1051">
        <f t="shared" si="75"/>
        <v>194.6666666666799</v>
      </c>
      <c r="K243" s="1052">
        <f t="shared" si="75"/>
        <v>164.00000000003968</v>
      </c>
      <c r="L243" s="1052">
        <f t="shared" si="75"/>
        <v>174.66666666664023</v>
      </c>
      <c r="M243" s="1052">
        <f t="shared" si="75"/>
        <v>181.33333333328943</v>
      </c>
      <c r="N243" s="1053">
        <f t="shared" si="75"/>
        <v>120.0</v>
      </c>
      <c r="O243" s="1053">
        <f t="shared" si="75"/>
        <v>130.66666666671955</v>
      </c>
      <c r="P243" s="1053">
        <f t="shared" si="75"/>
        <v>137.33333333335977</v>
      </c>
      <c r="Q243" s="1054">
        <f t="shared" si="75"/>
        <v>113.33333333335977</v>
      </c>
      <c r="R243" s="1054">
        <f t="shared" si="74"/>
        <v>123.99999999996034</v>
      </c>
      <c r="S243" s="1054">
        <f t="shared" si="74"/>
        <v>130.66666666671955</v>
      </c>
      <c r="T243" s="1055">
        <f t="shared" si="70"/>
        <v>106.66666666671956</v>
      </c>
      <c r="U243" s="1055">
        <f t="shared" si="70"/>
        <v>117.33333333332011</v>
      </c>
      <c r="V243" s="1055">
        <f t="shared" si="70"/>
        <v>123.99999999996034</v>
      </c>
      <c r="W243" s="1056">
        <f t="shared" si="70"/>
        <v>99.99999999996032</v>
      </c>
      <c r="X243" s="1056">
        <f t="shared" si="70"/>
        <v>110.66666666667989</v>
      </c>
      <c r="Y243" s="1056">
        <f t="shared" si="70"/>
        <v>117.33333333332011</v>
      </c>
      <c r="Z243" s="1057">
        <f t="shared" si="70"/>
        <v>93.33333333332182</v>
      </c>
      <c r="AA243" s="1057">
        <f t="shared" si="70"/>
        <v>104.00000000003966</v>
      </c>
      <c r="AB243" s="1057">
        <f t="shared" si="70"/>
        <v>110.66666666667989</v>
      </c>
      <c r="AC243" s="1058">
        <f t="shared" si="70"/>
        <v>86.66666666667629</v>
      </c>
      <c r="AD243" s="1058">
        <f t="shared" si="70"/>
        <v>97.33333333328315</v>
      </c>
      <c r="AE243" s="1058">
        <f t="shared" si="70"/>
        <v>104.00000000003966</v>
      </c>
      <c r="AF243" s="1059">
        <f t="shared" si="70"/>
        <v>80.00000000002197</v>
      </c>
      <c r="AG243" s="1059">
        <f t="shared" si="70"/>
        <v>90.66666666664501</v>
      </c>
      <c r="AH243" s="1059">
        <f t="shared" si="72"/>
        <v>97.33333333328315</v>
      </c>
      <c r="AI243" s="1060">
        <f t="shared" si="72"/>
        <v>73.33333333331935</v>
      </c>
      <c r="AJ243" s="1060">
        <f t="shared" si="72"/>
        <v>84.0</v>
      </c>
      <c r="AK243" s="1060">
        <f t="shared" si="72"/>
        <v>90.66666666664501</v>
      </c>
    </row>
    <row r="244" spans="8:8" ht="15.75" customHeight="1">
      <c r="D244" s="1049">
        <f t="shared" si="66"/>
        <v>0.6694444444444908</v>
      </c>
      <c r="E244" s="1050">
        <f t="shared" si="64"/>
        <v>191.46111111112438</v>
      </c>
      <c r="F244" s="1050">
        <f t="shared" si="73"/>
        <v>202.17222222223623</v>
      </c>
      <c r="G244" s="1050">
        <f t="shared" si="73"/>
        <v>208.86666666668114</v>
      </c>
      <c r="H244" s="1051">
        <f t="shared" si="75"/>
        <v>178.07222222220912</v>
      </c>
      <c r="I244" s="1051">
        <f t="shared" si="75"/>
        <v>188.78333333337267</v>
      </c>
      <c r="J244" s="1051">
        <f t="shared" si="75"/>
        <v>195.4777777777909</v>
      </c>
      <c r="K244" s="1052">
        <f t="shared" si="75"/>
        <v>164.68333333337267</v>
      </c>
      <c r="L244" s="1052">
        <f t="shared" si="75"/>
        <v>175.3944444444182</v>
      </c>
      <c r="M244" s="1052">
        <f t="shared" si="75"/>
        <v>182.08888888884545</v>
      </c>
      <c r="N244" s="1053">
        <f t="shared" si="75"/>
        <v>120.5</v>
      </c>
      <c r="O244" s="1053">
        <f t="shared" si="75"/>
        <v>131.21111111116355</v>
      </c>
      <c r="P244" s="1053">
        <f t="shared" si="75"/>
        <v>137.90555555558177</v>
      </c>
      <c r="Q244" s="1054">
        <f t="shared" si="75"/>
        <v>113.80555555558178</v>
      </c>
      <c r="R244" s="1054">
        <f t="shared" si="74"/>
        <v>124.51666666662733</v>
      </c>
      <c r="S244" s="1054">
        <f t="shared" si="74"/>
        <v>131.21111111116355</v>
      </c>
      <c r="T244" s="1055">
        <f t="shared" si="70"/>
        <v>107.11111111116355</v>
      </c>
      <c r="U244" s="1055">
        <f t="shared" si="70"/>
        <v>117.8222222222091</v>
      </c>
      <c r="V244" s="1055">
        <f t="shared" si="70"/>
        <v>124.51666666662733</v>
      </c>
      <c r="W244" s="1056">
        <f t="shared" si="70"/>
        <v>100.41666666662732</v>
      </c>
      <c r="X244" s="1056">
        <f t="shared" si="76" ref="X244:AK274">X245-(X$363/360)</f>
        <v>111.1277777777909</v>
      </c>
      <c r="Y244" s="1056">
        <f t="shared" si="76"/>
        <v>117.8222222222091</v>
      </c>
      <c r="Z244" s="1057">
        <f t="shared" si="76"/>
        <v>93.72222222221072</v>
      </c>
      <c r="AA244" s="1057">
        <f t="shared" si="76"/>
        <v>104.43333333337266</v>
      </c>
      <c r="AB244" s="1057">
        <f t="shared" si="76"/>
        <v>111.1277777777909</v>
      </c>
      <c r="AC244" s="1058">
        <f t="shared" si="76"/>
        <v>87.02777777778739</v>
      </c>
      <c r="AD244" s="1058">
        <f t="shared" si="76"/>
        <v>97.73888888883874</v>
      </c>
      <c r="AE244" s="1058">
        <f t="shared" si="76"/>
        <v>104.43333333337266</v>
      </c>
      <c r="AF244" s="1059">
        <f t="shared" si="76"/>
        <v>80.33333333335527</v>
      </c>
      <c r="AG244" s="1059">
        <f t="shared" si="76"/>
        <v>91.04444444442282</v>
      </c>
      <c r="AH244" s="1059">
        <f t="shared" si="72"/>
        <v>97.73888888883874</v>
      </c>
      <c r="AI244" s="1060">
        <f t="shared" si="72"/>
        <v>73.63888888887494</v>
      </c>
      <c r="AJ244" s="1060">
        <f t="shared" si="72"/>
        <v>84.35000000000001</v>
      </c>
      <c r="AK244" s="1060">
        <f t="shared" si="72"/>
        <v>91.04444444442282</v>
      </c>
    </row>
    <row r="245" spans="8:8" ht="15.75" customHeight="1">
      <c r="D245" s="1049">
        <f t="shared" si="66"/>
        <v>0.6722222222222688</v>
      </c>
      <c r="E245" s="1050">
        <f t="shared" si="64"/>
        <v>192.25555555556886</v>
      </c>
      <c r="F245" s="1050">
        <f t="shared" si="73"/>
        <v>203.0111111111252</v>
      </c>
      <c r="G245" s="1050">
        <f t="shared" si="73"/>
        <v>209.73333333334787</v>
      </c>
      <c r="H245" s="1051">
        <f t="shared" si="75"/>
        <v>178.8111111110981</v>
      </c>
      <c r="I245" s="1051">
        <f t="shared" si="75"/>
        <v>189.56666666670566</v>
      </c>
      <c r="J245" s="1051">
        <f t="shared" si="75"/>
        <v>196.2888888889019</v>
      </c>
      <c r="K245" s="1052">
        <f t="shared" si="75"/>
        <v>165.36666666670567</v>
      </c>
      <c r="L245" s="1052">
        <f t="shared" si="75"/>
        <v>176.1222222221962</v>
      </c>
      <c r="M245" s="1052">
        <f t="shared" si="75"/>
        <v>182.84444444440143</v>
      </c>
      <c r="N245" s="1053">
        <f t="shared" si="75"/>
        <v>121.0</v>
      </c>
      <c r="O245" s="1053">
        <f t="shared" si="75"/>
        <v>131.75555555560754</v>
      </c>
      <c r="P245" s="1053">
        <f t="shared" si="75"/>
        <v>138.47777777780377</v>
      </c>
      <c r="Q245" s="1054">
        <f t="shared" si="75"/>
        <v>114.27777777780378</v>
      </c>
      <c r="R245" s="1054">
        <f t="shared" si="74"/>
        <v>125.03333333329434</v>
      </c>
      <c r="S245" s="1054">
        <f t="shared" si="74"/>
        <v>131.75555555560754</v>
      </c>
      <c r="T245" s="1055">
        <f t="shared" si="74"/>
        <v>107.55555555560755</v>
      </c>
      <c r="U245" s="1055">
        <f t="shared" si="77" ref="U245:W261">U246-(U$363/360)</f>
        <v>118.3111111110981</v>
      </c>
      <c r="V245" s="1055">
        <f t="shared" si="77"/>
        <v>125.03333333329434</v>
      </c>
      <c r="W245" s="1056">
        <f t="shared" si="77"/>
        <v>100.83333333329433</v>
      </c>
      <c r="X245" s="1056">
        <f t="shared" si="76"/>
        <v>111.58888888890189</v>
      </c>
      <c r="Y245" s="1056">
        <f t="shared" si="76"/>
        <v>118.3111111110981</v>
      </c>
      <c r="Z245" s="1057">
        <f t="shared" si="76"/>
        <v>94.11111111109962</v>
      </c>
      <c r="AA245" s="1057">
        <f t="shared" si="76"/>
        <v>104.86666666670567</v>
      </c>
      <c r="AB245" s="1057">
        <f t="shared" si="76"/>
        <v>111.58888888890189</v>
      </c>
      <c r="AC245" s="1058">
        <f t="shared" si="76"/>
        <v>87.38888888889849</v>
      </c>
      <c r="AD245" s="1058">
        <f t="shared" si="76"/>
        <v>98.14444444439425</v>
      </c>
      <c r="AE245" s="1058">
        <f t="shared" si="76"/>
        <v>104.86666666670567</v>
      </c>
      <c r="AF245" s="1059">
        <f t="shared" si="76"/>
        <v>80.66666666668857</v>
      </c>
      <c r="AG245" s="1059">
        <f t="shared" si="76"/>
        <v>91.42222222220062</v>
      </c>
      <c r="AH245" s="1059">
        <f t="shared" si="72"/>
        <v>98.14444444439425</v>
      </c>
      <c r="AI245" s="1060">
        <f t="shared" si="72"/>
        <v>73.94444444443045</v>
      </c>
      <c r="AJ245" s="1060">
        <f t="shared" si="72"/>
        <v>84.7</v>
      </c>
      <c r="AK245" s="1060">
        <f t="shared" si="72"/>
        <v>91.42222222220062</v>
      </c>
    </row>
    <row r="246" spans="8:8" ht="15.75" customHeight="1">
      <c r="D246" s="1049">
        <f t="shared" si="66"/>
        <v>0.6750000000000468</v>
      </c>
      <c r="E246" s="1050">
        <f t="shared" si="64"/>
        <v>193.05000000001337</v>
      </c>
      <c r="F246" s="1050">
        <f t="shared" si="73"/>
        <v>203.85000000001412</v>
      </c>
      <c r="G246" s="1050">
        <f t="shared" si="73"/>
        <v>210.6000000000146</v>
      </c>
      <c r="H246" s="1051">
        <f t="shared" si="75"/>
        <v>179.5499999999871</v>
      </c>
      <c r="I246" s="1051">
        <f t="shared" si="75"/>
        <v>190.35000000003868</v>
      </c>
      <c r="J246" s="1051">
        <f t="shared" si="75"/>
        <v>197.1000000000129</v>
      </c>
      <c r="K246" s="1052">
        <f t="shared" si="75"/>
        <v>166.05000000003866</v>
      </c>
      <c r="L246" s="1052">
        <f t="shared" si="75"/>
        <v>176.84999999997422</v>
      </c>
      <c r="M246" s="1052">
        <f t="shared" si="75"/>
        <v>183.59999999995745</v>
      </c>
      <c r="N246" s="1053">
        <f t="shared" si="75"/>
        <v>121.5</v>
      </c>
      <c r="O246" s="1053">
        <f t="shared" si="75"/>
        <v>132.30000000005154</v>
      </c>
      <c r="P246" s="1053">
        <f t="shared" si="75"/>
        <v>139.0500000000258</v>
      </c>
      <c r="Q246" s="1054">
        <f t="shared" si="75"/>
        <v>114.75000000002578</v>
      </c>
      <c r="R246" s="1054">
        <f t="shared" si="74"/>
        <v>125.54999999996133</v>
      </c>
      <c r="S246" s="1054">
        <f t="shared" si="74"/>
        <v>132.30000000005154</v>
      </c>
      <c r="T246" s="1055">
        <f t="shared" si="74"/>
        <v>108.00000000005156</v>
      </c>
      <c r="U246" s="1055">
        <f t="shared" si="77"/>
        <v>118.79999999998711</v>
      </c>
      <c r="V246" s="1055">
        <f t="shared" si="77"/>
        <v>125.54999999996133</v>
      </c>
      <c r="W246" s="1056">
        <f t="shared" si="77"/>
        <v>101.24999999996133</v>
      </c>
      <c r="X246" s="1056">
        <f t="shared" si="76"/>
        <v>112.05000000001289</v>
      </c>
      <c r="Y246" s="1056">
        <f t="shared" si="76"/>
        <v>118.79999999998711</v>
      </c>
      <c r="Z246" s="1057">
        <f t="shared" si="76"/>
        <v>94.49999999998852</v>
      </c>
      <c r="AA246" s="1057">
        <f t="shared" si="76"/>
        <v>105.30000000003866</v>
      </c>
      <c r="AB246" s="1057">
        <f t="shared" si="76"/>
        <v>112.05000000001289</v>
      </c>
      <c r="AC246" s="1058">
        <f t="shared" si="76"/>
        <v>87.75000000000959</v>
      </c>
      <c r="AD246" s="1058">
        <f t="shared" si="76"/>
        <v>98.54999999994975</v>
      </c>
      <c r="AE246" s="1058">
        <f t="shared" si="76"/>
        <v>105.30000000003866</v>
      </c>
      <c r="AF246" s="1059">
        <f t="shared" si="76"/>
        <v>81.00000000002187</v>
      </c>
      <c r="AG246" s="1059">
        <f t="shared" si="76"/>
        <v>91.79999999997843</v>
      </c>
      <c r="AH246" s="1059">
        <f t="shared" si="72"/>
        <v>98.54999999994975</v>
      </c>
      <c r="AI246" s="1060">
        <f t="shared" si="72"/>
        <v>74.24999999998604</v>
      </c>
      <c r="AJ246" s="1060">
        <f t="shared" si="72"/>
        <v>85.05000000000001</v>
      </c>
      <c r="AK246" s="1060">
        <f t="shared" si="72"/>
        <v>91.79999999997843</v>
      </c>
    </row>
    <row r="247" spans="8:8" ht="15.75" customHeight="1">
      <c r="D247" s="1049">
        <f t="shared" si="66"/>
        <v>0.6777777777778248</v>
      </c>
      <c r="E247" s="1050">
        <f t="shared" si="64"/>
        <v>193.84444444445788</v>
      </c>
      <c r="F247" s="1050">
        <f t="shared" si="73"/>
        <v>204.68888888890308</v>
      </c>
      <c r="G247" s="1050">
        <f t="shared" si="73"/>
        <v>211.46666666668133</v>
      </c>
      <c r="H247" s="1051">
        <f t="shared" si="75"/>
        <v>180.28888888887613</v>
      </c>
      <c r="I247" s="1051">
        <f t="shared" si="75"/>
        <v>191.13333333337167</v>
      </c>
      <c r="J247" s="1051">
        <f t="shared" si="75"/>
        <v>197.9111111111239</v>
      </c>
      <c r="K247" s="1052">
        <f t="shared" si="75"/>
        <v>166.73333333337166</v>
      </c>
      <c r="L247" s="1052">
        <f t="shared" si="75"/>
        <v>177.5777777777522</v>
      </c>
      <c r="M247" s="1052">
        <f t="shared" si="75"/>
        <v>184.35555555551343</v>
      </c>
      <c r="N247" s="1053">
        <f t="shared" si="75"/>
        <v>122.0</v>
      </c>
      <c r="O247" s="1053">
        <f t="shared" si="75"/>
        <v>132.84444444449554</v>
      </c>
      <c r="P247" s="1053">
        <f t="shared" si="75"/>
        <v>139.62222222224779</v>
      </c>
      <c r="Q247" s="1054">
        <f t="shared" si="75"/>
        <v>115.22222222224777</v>
      </c>
      <c r="R247" s="1054">
        <f t="shared" si="74"/>
        <v>126.06666666662834</v>
      </c>
      <c r="S247" s="1054">
        <f t="shared" si="74"/>
        <v>132.84444444449554</v>
      </c>
      <c r="T247" s="1055">
        <f t="shared" si="74"/>
        <v>108.44444444449556</v>
      </c>
      <c r="U247" s="1055">
        <f t="shared" si="77"/>
        <v>119.2888888888761</v>
      </c>
      <c r="V247" s="1055">
        <f t="shared" si="77"/>
        <v>126.06666666662834</v>
      </c>
      <c r="W247" s="1056">
        <f t="shared" si="77"/>
        <v>101.66666666662833</v>
      </c>
      <c r="X247" s="1056">
        <f t="shared" si="76"/>
        <v>112.5111111111239</v>
      </c>
      <c r="Y247" s="1056">
        <f t="shared" si="76"/>
        <v>119.2888888888761</v>
      </c>
      <c r="Z247" s="1057">
        <f t="shared" si="76"/>
        <v>94.88888888887742</v>
      </c>
      <c r="AA247" s="1057">
        <f t="shared" si="76"/>
        <v>105.73333333337166</v>
      </c>
      <c r="AB247" s="1057">
        <f t="shared" si="76"/>
        <v>112.5111111111239</v>
      </c>
      <c r="AC247" s="1058">
        <f t="shared" si="76"/>
        <v>88.11111111112069</v>
      </c>
      <c r="AD247" s="1058">
        <f t="shared" si="76"/>
        <v>98.95555555550534</v>
      </c>
      <c r="AE247" s="1058">
        <f t="shared" si="76"/>
        <v>105.73333333337166</v>
      </c>
      <c r="AF247" s="1059">
        <f t="shared" si="76"/>
        <v>81.33333333335517</v>
      </c>
      <c r="AG247" s="1059">
        <f t="shared" si="76"/>
        <v>92.17777777775622</v>
      </c>
      <c r="AH247" s="1059">
        <f t="shared" si="72"/>
        <v>98.95555555550534</v>
      </c>
      <c r="AI247" s="1060">
        <f t="shared" si="72"/>
        <v>74.55555555554155</v>
      </c>
      <c r="AJ247" s="1060">
        <f t="shared" si="72"/>
        <v>85.4</v>
      </c>
      <c r="AK247" s="1060">
        <f t="shared" si="72"/>
        <v>92.17777777775622</v>
      </c>
    </row>
    <row r="248" spans="8:8" ht="15.75" customHeight="1">
      <c r="D248" s="1049">
        <f t="shared" si="66"/>
        <v>0.6805555555556028</v>
      </c>
      <c r="E248" s="1050">
        <f t="shared" si="64"/>
        <v>194.6388888889024</v>
      </c>
      <c r="F248" s="1050">
        <f t="shared" si="73"/>
        <v>205.52777777779204</v>
      </c>
      <c r="G248" s="1050">
        <f t="shared" si="73"/>
        <v>212.33333333334807</v>
      </c>
      <c r="H248" s="1051">
        <f t="shared" si="75"/>
        <v>181.02777777776512</v>
      </c>
      <c r="I248" s="1051">
        <f t="shared" si="75"/>
        <v>191.91666666670466</v>
      </c>
      <c r="J248" s="1051">
        <f t="shared" si="75"/>
        <v>198.7222222222349</v>
      </c>
      <c r="K248" s="1052">
        <f t="shared" si="75"/>
        <v>167.41666666670466</v>
      </c>
      <c r="L248" s="1052">
        <f t="shared" si="75"/>
        <v>178.30555555553022</v>
      </c>
      <c r="M248" s="1052">
        <f t="shared" si="75"/>
        <v>185.11111111106945</v>
      </c>
      <c r="N248" s="1053">
        <f t="shared" si="75"/>
        <v>122.5</v>
      </c>
      <c r="O248" s="1053">
        <f t="shared" si="75"/>
        <v>133.38888888893956</v>
      </c>
      <c r="P248" s="1053">
        <f t="shared" si="75"/>
        <v>140.19444444446978</v>
      </c>
      <c r="Q248" s="1054">
        <f t="shared" si="75"/>
        <v>115.69444444446977</v>
      </c>
      <c r="R248" s="1054">
        <f t="shared" si="78" ref="R248:T261">R249-(R$363/360)</f>
        <v>126.58333333329533</v>
      </c>
      <c r="S248" s="1054">
        <f t="shared" si="78"/>
        <v>133.38888888893956</v>
      </c>
      <c r="T248" s="1055">
        <f t="shared" si="78"/>
        <v>108.88888888893956</v>
      </c>
      <c r="U248" s="1055">
        <f t="shared" si="77"/>
        <v>119.77777777776511</v>
      </c>
      <c r="V248" s="1055">
        <f t="shared" si="77"/>
        <v>126.58333333329533</v>
      </c>
      <c r="W248" s="1056">
        <f t="shared" si="77"/>
        <v>102.08333333329533</v>
      </c>
      <c r="X248" s="1056">
        <f t="shared" si="76"/>
        <v>112.97222222223489</v>
      </c>
      <c r="Y248" s="1056">
        <f t="shared" si="76"/>
        <v>119.77777777776511</v>
      </c>
      <c r="Z248" s="1057">
        <f t="shared" si="76"/>
        <v>95.27777777776632</v>
      </c>
      <c r="AA248" s="1057">
        <f t="shared" si="76"/>
        <v>106.16666666670466</v>
      </c>
      <c r="AB248" s="1057">
        <f t="shared" si="76"/>
        <v>112.97222222223489</v>
      </c>
      <c r="AC248" s="1058">
        <f t="shared" si="76"/>
        <v>88.47222222223179</v>
      </c>
      <c r="AD248" s="1058">
        <f t="shared" si="76"/>
        <v>99.36111111106085</v>
      </c>
      <c r="AE248" s="1058">
        <f t="shared" si="76"/>
        <v>106.16666666670466</v>
      </c>
      <c r="AF248" s="1059">
        <f t="shared" si="76"/>
        <v>81.66666666668847</v>
      </c>
      <c r="AG248" s="1059">
        <f t="shared" si="76"/>
        <v>92.55555555553401</v>
      </c>
      <c r="AH248" s="1059">
        <f t="shared" si="72"/>
        <v>99.36111111106085</v>
      </c>
      <c r="AI248" s="1060">
        <f t="shared" si="72"/>
        <v>74.86111111109714</v>
      </c>
      <c r="AJ248" s="1060">
        <f t="shared" si="72"/>
        <v>85.75</v>
      </c>
      <c r="AK248" s="1060">
        <f t="shared" si="72"/>
        <v>92.55555555553401</v>
      </c>
    </row>
    <row r="249" spans="8:8" ht="15.75" customHeight="1">
      <c r="D249" s="1049">
        <f t="shared" si="66"/>
        <v>0.6833333333333808</v>
      </c>
      <c r="E249" s="1050">
        <f t="shared" si="64"/>
        <v>195.4333333333469</v>
      </c>
      <c r="F249" s="1050">
        <f t="shared" si="73"/>
        <v>206.366666666681</v>
      </c>
      <c r="G249" s="1050">
        <f t="shared" si="73"/>
        <v>213.2000000000148</v>
      </c>
      <c r="H249" s="1051">
        <f t="shared" si="75"/>
        <v>181.76666666665412</v>
      </c>
      <c r="I249" s="1051">
        <f t="shared" si="75"/>
        <v>192.70000000003768</v>
      </c>
      <c r="J249" s="1051">
        <f t="shared" si="75"/>
        <v>199.5333333333459</v>
      </c>
      <c r="K249" s="1052">
        <f t="shared" si="75"/>
        <v>168.10000000003765</v>
      </c>
      <c r="L249" s="1052">
        <f t="shared" si="75"/>
        <v>179.0333333333082</v>
      </c>
      <c r="M249" s="1052">
        <f t="shared" si="75"/>
        <v>185.86666666662543</v>
      </c>
      <c r="N249" s="1053">
        <f t="shared" si="75"/>
        <v>123.0</v>
      </c>
      <c r="O249" s="1053">
        <f t="shared" si="75"/>
        <v>133.93333333338356</v>
      </c>
      <c r="P249" s="1053">
        <f t="shared" si="75"/>
        <v>140.76666666669178</v>
      </c>
      <c r="Q249" s="1054">
        <f t="shared" si="75"/>
        <v>116.16666666669177</v>
      </c>
      <c r="R249" s="1054">
        <f t="shared" si="78"/>
        <v>127.09999999996234</v>
      </c>
      <c r="S249" s="1054">
        <f t="shared" si="78"/>
        <v>133.93333333338356</v>
      </c>
      <c r="T249" s="1055">
        <f t="shared" si="78"/>
        <v>109.33333333338356</v>
      </c>
      <c r="U249" s="1055">
        <f t="shared" si="77"/>
        <v>120.2666666666541</v>
      </c>
      <c r="V249" s="1055">
        <f t="shared" si="77"/>
        <v>127.09999999996234</v>
      </c>
      <c r="W249" s="1056">
        <f t="shared" si="77"/>
        <v>102.49999999996233</v>
      </c>
      <c r="X249" s="1056">
        <f t="shared" si="76"/>
        <v>113.43333333334589</v>
      </c>
      <c r="Y249" s="1056">
        <f t="shared" si="76"/>
        <v>120.2666666666541</v>
      </c>
      <c r="Z249" s="1057">
        <f t="shared" si="76"/>
        <v>95.66666666665522</v>
      </c>
      <c r="AA249" s="1057">
        <f t="shared" si="76"/>
        <v>106.60000000003767</v>
      </c>
      <c r="AB249" s="1057">
        <f t="shared" si="76"/>
        <v>113.43333333334589</v>
      </c>
      <c r="AC249" s="1058">
        <f t="shared" si="76"/>
        <v>88.83333333334289</v>
      </c>
      <c r="AD249" s="1058">
        <f t="shared" si="76"/>
        <v>99.76666666661644</v>
      </c>
      <c r="AE249" s="1058">
        <f t="shared" si="76"/>
        <v>106.60000000003767</v>
      </c>
      <c r="AF249" s="1059">
        <f t="shared" si="76"/>
        <v>82.00000000002177</v>
      </c>
      <c r="AG249" s="1059">
        <f t="shared" si="76"/>
        <v>92.93333333331182</v>
      </c>
      <c r="AH249" s="1059">
        <f t="shared" si="72"/>
        <v>99.76666666661644</v>
      </c>
      <c r="AI249" s="1060">
        <f t="shared" si="72"/>
        <v>75.16666666665274</v>
      </c>
      <c r="AJ249" s="1060">
        <f t="shared" si="72"/>
        <v>86.10000000000001</v>
      </c>
      <c r="AK249" s="1060">
        <f t="shared" si="72"/>
        <v>92.93333333331182</v>
      </c>
    </row>
    <row r="250" spans="8:8" ht="15.75" customHeight="1">
      <c r="D250" s="1049">
        <f t="shared" si="66"/>
        <v>0.6861111111111587</v>
      </c>
      <c r="E250" s="1050">
        <f t="shared" si="64"/>
        <v>196.2277777777914</v>
      </c>
      <c r="F250" s="1050">
        <f t="shared" si="73"/>
        <v>207.20555555556993</v>
      </c>
      <c r="G250" s="1050">
        <f t="shared" si="73"/>
        <v>214.06666666668153</v>
      </c>
      <c r="H250" s="1051">
        <f t="shared" si="75"/>
        <v>182.5055555555431</v>
      </c>
      <c r="I250" s="1051">
        <f t="shared" si="75"/>
        <v>193.48333333337067</v>
      </c>
      <c r="J250" s="1051">
        <f t="shared" si="75"/>
        <v>200.34444444445688</v>
      </c>
      <c r="K250" s="1052">
        <f t="shared" si="75"/>
        <v>168.78333333337065</v>
      </c>
      <c r="L250" s="1052">
        <f t="shared" si="75"/>
        <v>179.76111111108622</v>
      </c>
      <c r="M250" s="1052">
        <f t="shared" si="75"/>
        <v>186.62222222218145</v>
      </c>
      <c r="N250" s="1053">
        <f t="shared" si="75"/>
        <v>123.5</v>
      </c>
      <c r="O250" s="1053">
        <f t="shared" si="75"/>
        <v>134.47777777782755</v>
      </c>
      <c r="P250" s="1053">
        <f t="shared" si="75"/>
        <v>141.33888888891377</v>
      </c>
      <c r="Q250" s="1054">
        <f t="shared" si="75"/>
        <v>116.63888888891377</v>
      </c>
      <c r="R250" s="1054">
        <f t="shared" si="78"/>
        <v>127.61666666662934</v>
      </c>
      <c r="S250" s="1054">
        <f t="shared" si="78"/>
        <v>134.47777777782755</v>
      </c>
      <c r="T250" s="1055">
        <f t="shared" si="78"/>
        <v>109.77777777782755</v>
      </c>
      <c r="U250" s="1055">
        <f t="shared" si="77"/>
        <v>120.75555555554311</v>
      </c>
      <c r="V250" s="1055">
        <f t="shared" si="77"/>
        <v>127.61666666662934</v>
      </c>
      <c r="W250" s="1056">
        <f t="shared" si="77"/>
        <v>102.91666666662933</v>
      </c>
      <c r="X250" s="1056">
        <f t="shared" si="76"/>
        <v>113.8944444444569</v>
      </c>
      <c r="Y250" s="1056">
        <f t="shared" si="76"/>
        <v>120.75555555554311</v>
      </c>
      <c r="Z250" s="1057">
        <f t="shared" si="76"/>
        <v>96.05555555554412</v>
      </c>
      <c r="AA250" s="1057">
        <f t="shared" si="76"/>
        <v>107.03333333337066</v>
      </c>
      <c r="AB250" s="1057">
        <f t="shared" si="76"/>
        <v>113.8944444444569</v>
      </c>
      <c r="AC250" s="1058">
        <f t="shared" si="76"/>
        <v>89.19444444445399</v>
      </c>
      <c r="AD250" s="1058">
        <f t="shared" si="76"/>
        <v>100.17222222217245</v>
      </c>
      <c r="AE250" s="1058">
        <f t="shared" si="76"/>
        <v>107.03333333337066</v>
      </c>
      <c r="AF250" s="1059">
        <f t="shared" si="76"/>
        <v>82.33333333335507</v>
      </c>
      <c r="AG250" s="1059">
        <f t="shared" si="76"/>
        <v>93.31111111108962</v>
      </c>
      <c r="AH250" s="1059">
        <f t="shared" si="72"/>
        <v>100.17222222217245</v>
      </c>
      <c r="AI250" s="1060">
        <f t="shared" si="72"/>
        <v>75.47222222220825</v>
      </c>
      <c r="AJ250" s="1060">
        <f t="shared" si="72"/>
        <v>86.45</v>
      </c>
      <c r="AK250" s="1060">
        <f t="shared" si="72"/>
        <v>93.31111111108962</v>
      </c>
    </row>
    <row r="251" spans="8:8" ht="15.75" customHeight="1">
      <c r="D251" s="1049">
        <f t="shared" si="66"/>
        <v>0.6888888888889367</v>
      </c>
      <c r="E251" s="1050">
        <f t="shared" si="64"/>
        <v>197.0222222222359</v>
      </c>
      <c r="F251" s="1050">
        <f t="shared" si="73"/>
        <v>208.0444444444589</v>
      </c>
      <c r="G251" s="1050">
        <f t="shared" si="73"/>
        <v>214.93333333334826</v>
      </c>
      <c r="H251" s="1051">
        <f t="shared" si="75"/>
        <v>183.24444444443213</v>
      </c>
      <c r="I251" s="1051">
        <f t="shared" si="75"/>
        <v>194.26666666670366</v>
      </c>
      <c r="J251" s="1051">
        <f t="shared" si="75"/>
        <v>201.1555555555679</v>
      </c>
      <c r="K251" s="1052">
        <f t="shared" si="75"/>
        <v>169.46666666670367</v>
      </c>
      <c r="L251" s="1052">
        <f t="shared" si="75"/>
        <v>180.4888888888642</v>
      </c>
      <c r="M251" s="1052">
        <f t="shared" si="75"/>
        <v>187.37777777773744</v>
      </c>
      <c r="N251" s="1053">
        <f t="shared" si="75"/>
        <v>124.0</v>
      </c>
      <c r="O251" s="1053">
        <f t="shared" si="75"/>
        <v>135.02222222227155</v>
      </c>
      <c r="P251" s="1053">
        <f t="shared" si="75"/>
        <v>141.91111111113577</v>
      </c>
      <c r="Q251" s="1054">
        <f t="shared" si="75"/>
        <v>117.11111111113577</v>
      </c>
      <c r="R251" s="1054">
        <f t="shared" si="78"/>
        <v>128.13333333329632</v>
      </c>
      <c r="S251" s="1054">
        <f t="shared" si="78"/>
        <v>135.02222222227155</v>
      </c>
      <c r="T251" s="1055">
        <f t="shared" si="78"/>
        <v>110.22222222227155</v>
      </c>
      <c r="U251" s="1055">
        <f t="shared" si="77"/>
        <v>121.2444444444321</v>
      </c>
      <c r="V251" s="1055">
        <f t="shared" si="77"/>
        <v>128.13333333329632</v>
      </c>
      <c r="W251" s="1056">
        <f t="shared" si="77"/>
        <v>103.33333333329632</v>
      </c>
      <c r="X251" s="1056">
        <f t="shared" si="76"/>
        <v>114.35555555556789</v>
      </c>
      <c r="Y251" s="1056">
        <f t="shared" si="76"/>
        <v>121.2444444444321</v>
      </c>
      <c r="Z251" s="1057">
        <f t="shared" si="76"/>
        <v>96.44444444443302</v>
      </c>
      <c r="AA251" s="1057">
        <f t="shared" si="76"/>
        <v>107.46666666670366</v>
      </c>
      <c r="AB251" s="1057">
        <f t="shared" si="76"/>
        <v>114.35555555556789</v>
      </c>
      <c r="AC251" s="1058">
        <f t="shared" si="76"/>
        <v>89.55555555556509</v>
      </c>
      <c r="AD251" s="1058">
        <f t="shared" si="76"/>
        <v>100.57777777772844</v>
      </c>
      <c r="AE251" s="1058">
        <f t="shared" si="76"/>
        <v>107.46666666670366</v>
      </c>
      <c r="AF251" s="1059">
        <f t="shared" si="76"/>
        <v>82.66666666668837</v>
      </c>
      <c r="AG251" s="1059">
        <f t="shared" si="76"/>
        <v>93.68888888886742</v>
      </c>
      <c r="AH251" s="1059">
        <f t="shared" si="72"/>
        <v>100.57777777772844</v>
      </c>
      <c r="AI251" s="1060">
        <f t="shared" si="72"/>
        <v>75.77777777776384</v>
      </c>
      <c r="AJ251" s="1060">
        <f t="shared" si="72"/>
        <v>86.80000000000001</v>
      </c>
      <c r="AK251" s="1060">
        <f t="shared" si="72"/>
        <v>93.68888888886742</v>
      </c>
    </row>
    <row r="252" spans="8:8" ht="15.75" customHeight="1">
      <c r="D252" s="1049">
        <f t="shared" si="66"/>
        <v>0.6916666666667147</v>
      </c>
      <c r="E252" s="1050">
        <f t="shared" si="64"/>
        <v>197.81666666668042</v>
      </c>
      <c r="F252" s="1050">
        <f t="shared" si="73"/>
        <v>208.88333333334785</v>
      </c>
      <c r="G252" s="1050">
        <f t="shared" si="73"/>
        <v>215.800000000015</v>
      </c>
      <c r="H252" s="1051">
        <f t="shared" si="75"/>
        <v>183.98333333332113</v>
      </c>
      <c r="I252" s="1051">
        <f t="shared" si="75"/>
        <v>195.05000000003668</v>
      </c>
      <c r="J252" s="1051">
        <f t="shared" si="75"/>
        <v>201.9666666666789</v>
      </c>
      <c r="K252" s="1052">
        <f t="shared" si="75"/>
        <v>170.15000000003667</v>
      </c>
      <c r="L252" s="1052">
        <f t="shared" si="75"/>
        <v>181.2166666666422</v>
      </c>
      <c r="M252" s="1052">
        <f t="shared" si="75"/>
        <v>188.13333333329345</v>
      </c>
      <c r="N252" s="1053">
        <f t="shared" si="75"/>
        <v>124.5</v>
      </c>
      <c r="O252" s="1053">
        <f t="shared" si="75"/>
        <v>135.56666666671555</v>
      </c>
      <c r="P252" s="1053">
        <f t="shared" si="75"/>
        <v>142.4833333333578</v>
      </c>
      <c r="Q252" s="1054">
        <f t="shared" si="75"/>
        <v>117.58333333335777</v>
      </c>
      <c r="R252" s="1054">
        <f t="shared" si="78"/>
        <v>128.6499999999633</v>
      </c>
      <c r="S252" s="1054">
        <f t="shared" si="78"/>
        <v>135.56666666671555</v>
      </c>
      <c r="T252" s="1055">
        <f t="shared" si="78"/>
        <v>110.66666666671556</v>
      </c>
      <c r="U252" s="1055">
        <f t="shared" si="77"/>
        <v>121.7333333333211</v>
      </c>
      <c r="V252" s="1055">
        <f t="shared" si="77"/>
        <v>128.6499999999633</v>
      </c>
      <c r="W252" s="1056">
        <f t="shared" si="77"/>
        <v>103.74999999996332</v>
      </c>
      <c r="X252" s="1056">
        <f t="shared" si="76"/>
        <v>114.8166666666789</v>
      </c>
      <c r="Y252" s="1056">
        <f t="shared" si="76"/>
        <v>121.7333333333211</v>
      </c>
      <c r="Z252" s="1057">
        <f t="shared" si="76"/>
        <v>96.83333333332192</v>
      </c>
      <c r="AA252" s="1057">
        <f t="shared" si="76"/>
        <v>107.90000000003667</v>
      </c>
      <c r="AB252" s="1057">
        <f t="shared" si="76"/>
        <v>114.8166666666789</v>
      </c>
      <c r="AC252" s="1058">
        <f t="shared" si="76"/>
        <v>89.91666666667619</v>
      </c>
      <c r="AD252" s="1058">
        <f t="shared" si="76"/>
        <v>100.98333333328445</v>
      </c>
      <c r="AE252" s="1058">
        <f t="shared" si="76"/>
        <v>107.90000000003667</v>
      </c>
      <c r="AF252" s="1059">
        <f t="shared" si="76"/>
        <v>83.00000000002167</v>
      </c>
      <c r="AG252" s="1059">
        <f t="shared" si="76"/>
        <v>94.06666666664522</v>
      </c>
      <c r="AH252" s="1059">
        <f t="shared" si="72"/>
        <v>100.98333333328445</v>
      </c>
      <c r="AI252" s="1060">
        <f t="shared" si="72"/>
        <v>76.08333333331935</v>
      </c>
      <c r="AJ252" s="1060">
        <f t="shared" si="72"/>
        <v>87.15</v>
      </c>
      <c r="AK252" s="1060">
        <f t="shared" si="72"/>
        <v>94.06666666664522</v>
      </c>
    </row>
    <row r="253" spans="8:8" ht="15.75" customHeight="1">
      <c r="D253" s="1049">
        <f t="shared" si="66"/>
        <v>0.6944444444444927</v>
      </c>
      <c r="E253" s="1050">
        <f t="shared" si="64"/>
        <v>198.61111111112493</v>
      </c>
      <c r="F253" s="1050">
        <f t="shared" si="73"/>
        <v>209.7222222222368</v>
      </c>
      <c r="G253" s="1050">
        <f t="shared" si="73"/>
        <v>216.66666666668172</v>
      </c>
      <c r="H253" s="1051">
        <f t="shared" si="79" ref="H253:Q273">H254-(H$363/360)</f>
        <v>184.72222222221012</v>
      </c>
      <c r="I253" s="1051">
        <f t="shared" si="75"/>
        <v>195.83333333336967</v>
      </c>
      <c r="J253" s="1051">
        <f t="shared" si="75"/>
        <v>202.7777777777899</v>
      </c>
      <c r="K253" s="1052">
        <f t="shared" si="75"/>
        <v>170.83333333336967</v>
      </c>
      <c r="L253" s="1052">
        <f t="shared" si="75"/>
        <v>181.9444444444202</v>
      </c>
      <c r="M253" s="1052">
        <f t="shared" si="75"/>
        <v>188.88888888884944</v>
      </c>
      <c r="N253" s="1053">
        <f t="shared" si="79"/>
        <v>125.0</v>
      </c>
      <c r="O253" s="1053">
        <f t="shared" si="79"/>
        <v>136.11111111115954</v>
      </c>
      <c r="P253" s="1053">
        <f t="shared" si="79"/>
        <v>143.0555555555798</v>
      </c>
      <c r="Q253" s="1054">
        <f t="shared" si="79"/>
        <v>118.05555555557977</v>
      </c>
      <c r="R253" s="1054">
        <f t="shared" si="78"/>
        <v>129.16666666663033</v>
      </c>
      <c r="S253" s="1054">
        <f t="shared" si="78"/>
        <v>136.11111111115954</v>
      </c>
      <c r="T253" s="1055">
        <f t="shared" si="78"/>
        <v>111.11111111115956</v>
      </c>
      <c r="U253" s="1055">
        <f t="shared" si="77"/>
        <v>122.2222222222101</v>
      </c>
      <c r="V253" s="1055">
        <f t="shared" si="77"/>
        <v>129.16666666663033</v>
      </c>
      <c r="W253" s="1056">
        <f t="shared" si="77"/>
        <v>104.16666666663033</v>
      </c>
      <c r="X253" s="1056">
        <f t="shared" si="76"/>
        <v>115.2777777777899</v>
      </c>
      <c r="Y253" s="1056">
        <f t="shared" si="76"/>
        <v>122.2222222222101</v>
      </c>
      <c r="Z253" s="1057">
        <f t="shared" si="76"/>
        <v>97.22222222221082</v>
      </c>
      <c r="AA253" s="1057">
        <f t="shared" si="76"/>
        <v>108.33333333336967</v>
      </c>
      <c r="AB253" s="1057">
        <f t="shared" si="76"/>
        <v>115.2777777777899</v>
      </c>
      <c r="AC253" s="1058">
        <f t="shared" si="76"/>
        <v>90.27777777778729</v>
      </c>
      <c r="AD253" s="1058">
        <f t="shared" si="76"/>
        <v>101.38888888884046</v>
      </c>
      <c r="AE253" s="1058">
        <f t="shared" si="76"/>
        <v>108.33333333336967</v>
      </c>
      <c r="AF253" s="1059">
        <f t="shared" si="76"/>
        <v>83.33333333335497</v>
      </c>
      <c r="AG253" s="1059">
        <f t="shared" si="76"/>
        <v>94.44444444442303</v>
      </c>
      <c r="AH253" s="1059">
        <f t="shared" si="72"/>
        <v>101.38888888884046</v>
      </c>
      <c r="AI253" s="1060">
        <f t="shared" si="72"/>
        <v>76.38888888887494</v>
      </c>
      <c r="AJ253" s="1060">
        <f t="shared" si="72"/>
        <v>87.5</v>
      </c>
      <c r="AK253" s="1060">
        <f t="shared" si="72"/>
        <v>94.44444444442303</v>
      </c>
    </row>
    <row r="254" spans="8:8" ht="15.75" customHeight="1">
      <c r="D254" s="1049">
        <f t="shared" si="66"/>
        <v>0.6972222222222708</v>
      </c>
      <c r="E254" s="1050">
        <f t="shared" si="64"/>
        <v>199.40555555556946</v>
      </c>
      <c r="F254" s="1050">
        <f t="shared" si="73"/>
        <v>210.5611111111258</v>
      </c>
      <c r="G254" s="1050">
        <f t="shared" si="73"/>
        <v>217.53333333334848</v>
      </c>
      <c r="H254" s="1051">
        <f t="shared" si="79"/>
        <v>185.46111111109911</v>
      </c>
      <c r="I254" s="1051">
        <f t="shared" si="79"/>
        <v>196.61666666670266</v>
      </c>
      <c r="J254" s="1051">
        <f t="shared" si="79"/>
        <v>203.5888888889009</v>
      </c>
      <c r="K254" s="1052">
        <f t="shared" si="79"/>
        <v>171.51666666670266</v>
      </c>
      <c r="L254" s="1052">
        <f t="shared" si="79"/>
        <v>182.6722222221982</v>
      </c>
      <c r="M254" s="1052">
        <f t="shared" si="79"/>
        <v>189.64444444440545</v>
      </c>
      <c r="N254" s="1053">
        <f t="shared" si="79"/>
        <v>125.5</v>
      </c>
      <c r="O254" s="1053">
        <f t="shared" si="79"/>
        <v>136.65555555560354</v>
      </c>
      <c r="P254" s="1053">
        <f t="shared" si="79"/>
        <v>143.62777777780178</v>
      </c>
      <c r="Q254" s="1054">
        <f t="shared" si="79"/>
        <v>118.52777777780177</v>
      </c>
      <c r="R254" s="1054">
        <f t="shared" si="78"/>
        <v>129.68333333329733</v>
      </c>
      <c r="S254" s="1054">
        <f t="shared" si="78"/>
        <v>136.65555555560354</v>
      </c>
      <c r="T254" s="1055">
        <f t="shared" si="78"/>
        <v>111.55555555560356</v>
      </c>
      <c r="U254" s="1055">
        <f t="shared" si="77"/>
        <v>122.7111111110991</v>
      </c>
      <c r="V254" s="1055">
        <f t="shared" si="77"/>
        <v>129.68333333329733</v>
      </c>
      <c r="W254" s="1056">
        <f t="shared" si="77"/>
        <v>104.58333333329733</v>
      </c>
      <c r="X254" s="1056">
        <f t="shared" si="76"/>
        <v>115.73888888890089</v>
      </c>
      <c r="Y254" s="1056">
        <f t="shared" si="76"/>
        <v>122.7111111110991</v>
      </c>
      <c r="Z254" s="1057">
        <f t="shared" si="76"/>
        <v>97.61111111109972</v>
      </c>
      <c r="AA254" s="1057">
        <f t="shared" si="76"/>
        <v>108.76666666670266</v>
      </c>
      <c r="AB254" s="1057">
        <f t="shared" si="76"/>
        <v>115.73888888890089</v>
      </c>
      <c r="AC254" s="1058">
        <f t="shared" si="76"/>
        <v>90.63888888889839</v>
      </c>
      <c r="AD254" s="1058">
        <f t="shared" si="76"/>
        <v>101.79444444439645</v>
      </c>
      <c r="AE254" s="1058">
        <f t="shared" si="76"/>
        <v>108.76666666670266</v>
      </c>
      <c r="AF254" s="1059">
        <f t="shared" si="76"/>
        <v>83.66666666668827</v>
      </c>
      <c r="AG254" s="1059">
        <f t="shared" si="76"/>
        <v>94.82222222220082</v>
      </c>
      <c r="AH254" s="1059">
        <f t="shared" si="72"/>
        <v>101.79444444439645</v>
      </c>
      <c r="AI254" s="1060">
        <f t="shared" si="72"/>
        <v>76.69444444443045</v>
      </c>
      <c r="AJ254" s="1060">
        <f t="shared" si="72"/>
        <v>87.85000000000001</v>
      </c>
      <c r="AK254" s="1060">
        <f t="shared" si="72"/>
        <v>94.82222222220082</v>
      </c>
    </row>
    <row r="255" spans="8:8" ht="15.75" customHeight="1">
      <c r="D255" s="1049">
        <f t="shared" si="66"/>
        <v>0.7000000000000488</v>
      </c>
      <c r="E255" s="1050">
        <f t="shared" si="64"/>
        <v>200.20000000001397</v>
      </c>
      <c r="F255" s="1050">
        <f t="shared" si="73"/>
        <v>211.40000000001473</v>
      </c>
      <c r="G255" s="1050">
        <f t="shared" si="73"/>
        <v>218.40000000001524</v>
      </c>
      <c r="H255" s="1051">
        <f t="shared" si="79"/>
        <v>186.1999999999881</v>
      </c>
      <c r="I255" s="1051">
        <f t="shared" si="79"/>
        <v>197.40000000003567</v>
      </c>
      <c r="J255" s="1051">
        <f t="shared" si="79"/>
        <v>204.4000000000119</v>
      </c>
      <c r="K255" s="1052">
        <f t="shared" si="79"/>
        <v>172.20000000003566</v>
      </c>
      <c r="L255" s="1052">
        <f t="shared" si="79"/>
        <v>183.39999999997622</v>
      </c>
      <c r="M255" s="1052">
        <f t="shared" si="79"/>
        <v>190.39999999996144</v>
      </c>
      <c r="N255" s="1053">
        <f t="shared" si="79"/>
        <v>126.0</v>
      </c>
      <c r="O255" s="1053">
        <f t="shared" si="79"/>
        <v>137.20000000004754</v>
      </c>
      <c r="P255" s="1053">
        <f t="shared" si="79"/>
        <v>144.20000000002378</v>
      </c>
      <c r="Q255" s="1054">
        <f t="shared" si="79"/>
        <v>119.00000000002377</v>
      </c>
      <c r="R255" s="1054">
        <f t="shared" si="78"/>
        <v>130.19999999996432</v>
      </c>
      <c r="S255" s="1054">
        <f t="shared" si="78"/>
        <v>137.20000000004754</v>
      </c>
      <c r="T255" s="1055">
        <f t="shared" si="78"/>
        <v>112.00000000004756</v>
      </c>
      <c r="U255" s="1055">
        <f t="shared" si="77"/>
        <v>123.19999999998811</v>
      </c>
      <c r="V255" s="1055">
        <f t="shared" si="77"/>
        <v>130.19999999996432</v>
      </c>
      <c r="W255" s="1056">
        <f t="shared" si="77"/>
        <v>104.99999999996433</v>
      </c>
      <c r="X255" s="1056">
        <f t="shared" si="76"/>
        <v>116.2000000000119</v>
      </c>
      <c r="Y255" s="1056">
        <f t="shared" si="76"/>
        <v>123.19999999998811</v>
      </c>
      <c r="Z255" s="1057">
        <f t="shared" si="76"/>
        <v>97.99999999998862</v>
      </c>
      <c r="AA255" s="1057">
        <f t="shared" si="76"/>
        <v>109.20000000003566</v>
      </c>
      <c r="AB255" s="1057">
        <f t="shared" si="76"/>
        <v>116.2000000000119</v>
      </c>
      <c r="AC255" s="1058">
        <f t="shared" si="76"/>
        <v>91.00000000000948</v>
      </c>
      <c r="AD255" s="1058">
        <f t="shared" si="76"/>
        <v>102.19999999995245</v>
      </c>
      <c r="AE255" s="1058">
        <f t="shared" si="76"/>
        <v>109.20000000003566</v>
      </c>
      <c r="AF255" s="1059">
        <f t="shared" si="76"/>
        <v>84.00000000002157</v>
      </c>
      <c r="AG255" s="1059">
        <f t="shared" si="76"/>
        <v>95.19999999997862</v>
      </c>
      <c r="AH255" s="1059">
        <f t="shared" si="72"/>
        <v>102.19999999995245</v>
      </c>
      <c r="AI255" s="1060">
        <f t="shared" si="72"/>
        <v>76.99999999998604</v>
      </c>
      <c r="AJ255" s="1060">
        <f t="shared" si="72"/>
        <v>88.2</v>
      </c>
      <c r="AK255" s="1060">
        <f t="shared" si="72"/>
        <v>95.19999999997862</v>
      </c>
    </row>
    <row r="256" spans="8:8" ht="15.75" customHeight="1">
      <c r="D256" s="1049">
        <f t="shared" si="66"/>
        <v>0.7027777777778268</v>
      </c>
      <c r="E256" s="1050">
        <f t="shared" si="64"/>
        <v>200.99444444445845</v>
      </c>
      <c r="F256" s="1050">
        <f t="shared" si="73"/>
        <v>212.2388888889037</v>
      </c>
      <c r="G256" s="1050">
        <f t="shared" si="73"/>
        <v>219.26666666668197</v>
      </c>
      <c r="H256" s="1051">
        <f t="shared" si="79"/>
        <v>186.93888888887713</v>
      </c>
      <c r="I256" s="1051">
        <f t="shared" si="79"/>
        <v>198.18333333336867</v>
      </c>
      <c r="J256" s="1051">
        <f t="shared" si="79"/>
        <v>205.2111111111229</v>
      </c>
      <c r="K256" s="1052">
        <f t="shared" si="79"/>
        <v>172.88333333336865</v>
      </c>
      <c r="L256" s="1052">
        <f t="shared" si="79"/>
        <v>184.1277777777542</v>
      </c>
      <c r="M256" s="1052">
        <f t="shared" si="79"/>
        <v>191.15555555551745</v>
      </c>
      <c r="N256" s="1053">
        <f t="shared" si="79"/>
        <v>126.5</v>
      </c>
      <c r="O256" s="1053">
        <f t="shared" si="79"/>
        <v>137.74444444449153</v>
      </c>
      <c r="P256" s="1053">
        <f t="shared" si="79"/>
        <v>144.77222222224577</v>
      </c>
      <c r="Q256" s="1054">
        <f t="shared" si="79"/>
        <v>119.47222222224578</v>
      </c>
      <c r="R256" s="1054">
        <f t="shared" si="78"/>
        <v>130.7166666666313</v>
      </c>
      <c r="S256" s="1054">
        <f t="shared" si="78"/>
        <v>137.74444444449153</v>
      </c>
      <c r="T256" s="1055">
        <f t="shared" si="78"/>
        <v>112.44444444449155</v>
      </c>
      <c r="U256" s="1055">
        <f t="shared" si="77"/>
        <v>123.6888888888771</v>
      </c>
      <c r="V256" s="1055">
        <f t="shared" si="77"/>
        <v>130.7166666666313</v>
      </c>
      <c r="W256" s="1056">
        <f t="shared" si="77"/>
        <v>105.41666666663133</v>
      </c>
      <c r="X256" s="1056">
        <f t="shared" si="76"/>
        <v>116.66111111112289</v>
      </c>
      <c r="Y256" s="1056">
        <f t="shared" si="76"/>
        <v>123.6888888888771</v>
      </c>
      <c r="Z256" s="1057">
        <f t="shared" si="76"/>
        <v>98.38888888887752</v>
      </c>
      <c r="AA256" s="1057">
        <f t="shared" si="76"/>
        <v>109.63333333336867</v>
      </c>
      <c r="AB256" s="1057">
        <f t="shared" si="76"/>
        <v>116.66111111112289</v>
      </c>
      <c r="AC256" s="1058">
        <f t="shared" si="76"/>
        <v>91.36111111112058</v>
      </c>
      <c r="AD256" s="1058">
        <f t="shared" si="76"/>
        <v>102.60555555550845</v>
      </c>
      <c r="AE256" s="1058">
        <f t="shared" si="76"/>
        <v>109.63333333336867</v>
      </c>
      <c r="AF256" s="1059">
        <f t="shared" si="76"/>
        <v>84.33333333335487</v>
      </c>
      <c r="AG256" s="1059">
        <f t="shared" si="76"/>
        <v>95.57777777775642</v>
      </c>
      <c r="AH256" s="1059">
        <f t="shared" si="72"/>
        <v>102.60555555550845</v>
      </c>
      <c r="AI256" s="1060">
        <f t="shared" si="72"/>
        <v>77.30555555554155</v>
      </c>
      <c r="AJ256" s="1060">
        <f t="shared" si="72"/>
        <v>88.55000000000001</v>
      </c>
      <c r="AK256" s="1060">
        <f t="shared" si="72"/>
        <v>95.57777777775642</v>
      </c>
    </row>
    <row r="257" spans="8:8" ht="15.75" customHeight="1">
      <c r="D257" s="1049">
        <f t="shared" si="66"/>
        <v>0.7055555555556048</v>
      </c>
      <c r="E257" s="1050">
        <f t="shared" si="64"/>
        <v>201.78888888890296</v>
      </c>
      <c r="F257" s="1050">
        <f t="shared" si="73"/>
        <v>213.07777777779265</v>
      </c>
      <c r="G257" s="1050">
        <f t="shared" si="73"/>
        <v>220.1333333333487</v>
      </c>
      <c r="H257" s="1051">
        <f t="shared" si="79"/>
        <v>187.67777777776612</v>
      </c>
      <c r="I257" s="1051">
        <f t="shared" si="79"/>
        <v>198.96666666670166</v>
      </c>
      <c r="J257" s="1051">
        <f t="shared" si="79"/>
        <v>206.0222222222339</v>
      </c>
      <c r="K257" s="1052">
        <f t="shared" si="79"/>
        <v>173.56666666670165</v>
      </c>
      <c r="L257" s="1052">
        <f t="shared" si="79"/>
        <v>184.85555555553222</v>
      </c>
      <c r="M257" s="1052">
        <f t="shared" si="79"/>
        <v>191.91111111107344</v>
      </c>
      <c r="N257" s="1053">
        <f t="shared" si="79"/>
        <v>127.0</v>
      </c>
      <c r="O257" s="1053">
        <f t="shared" si="79"/>
        <v>138.28888888893556</v>
      </c>
      <c r="P257" s="1053">
        <f t="shared" si="79"/>
        <v>145.34444444446777</v>
      </c>
      <c r="Q257" s="1054">
        <f t="shared" si="79"/>
        <v>119.94444444446778</v>
      </c>
      <c r="R257" s="1054">
        <f t="shared" si="78"/>
        <v>131.23333333329833</v>
      </c>
      <c r="S257" s="1054">
        <f t="shared" si="78"/>
        <v>138.28888888893556</v>
      </c>
      <c r="T257" s="1055">
        <f t="shared" si="78"/>
        <v>112.88888888893555</v>
      </c>
      <c r="U257" s="1055">
        <f t="shared" si="77"/>
        <v>124.17777777776611</v>
      </c>
      <c r="V257" s="1055">
        <f t="shared" si="77"/>
        <v>131.23333333329833</v>
      </c>
      <c r="W257" s="1056">
        <f t="shared" si="77"/>
        <v>105.83333333329833</v>
      </c>
      <c r="X257" s="1056">
        <f t="shared" si="76"/>
        <v>117.12222222223389</v>
      </c>
      <c r="Y257" s="1056">
        <f t="shared" si="76"/>
        <v>124.17777777776611</v>
      </c>
      <c r="Z257" s="1057">
        <f t="shared" si="76"/>
        <v>98.77777777776642</v>
      </c>
      <c r="AA257" s="1057">
        <f t="shared" si="76"/>
        <v>110.06666666670166</v>
      </c>
      <c r="AB257" s="1057">
        <f t="shared" si="76"/>
        <v>117.12222222223389</v>
      </c>
      <c r="AC257" s="1058">
        <f t="shared" si="76"/>
        <v>91.72222222223168</v>
      </c>
      <c r="AD257" s="1058">
        <f t="shared" si="76"/>
        <v>103.01111111106445</v>
      </c>
      <c r="AE257" s="1058">
        <f t="shared" si="76"/>
        <v>110.06666666670166</v>
      </c>
      <c r="AF257" s="1059">
        <f t="shared" si="76"/>
        <v>84.66666666668817</v>
      </c>
      <c r="AG257" s="1059">
        <f t="shared" si="76"/>
        <v>95.95555555553422</v>
      </c>
      <c r="AH257" s="1059">
        <f t="shared" si="72"/>
        <v>103.01111111106445</v>
      </c>
      <c r="AI257" s="1060">
        <f t="shared" si="72"/>
        <v>77.61111111109714</v>
      </c>
      <c r="AJ257" s="1060">
        <f t="shared" si="72"/>
        <v>88.9</v>
      </c>
      <c r="AK257" s="1060">
        <f t="shared" si="72"/>
        <v>95.95555555553422</v>
      </c>
    </row>
    <row r="258" spans="8:8" ht="15.75" customHeight="1">
      <c r="D258" s="1049">
        <f t="shared" si="66"/>
        <v>0.7083333333333828</v>
      </c>
      <c r="E258" s="1050">
        <f t="shared" si="64"/>
        <v>202.58333333334747</v>
      </c>
      <c r="F258" s="1050">
        <f t="shared" si="73"/>
        <v>213.9166666666816</v>
      </c>
      <c r="G258" s="1050">
        <f t="shared" si="73"/>
        <v>221.00000000001543</v>
      </c>
      <c r="H258" s="1051">
        <f t="shared" si="79"/>
        <v>188.41666666665512</v>
      </c>
      <c r="I258" s="1051">
        <f t="shared" si="79"/>
        <v>199.75000000003467</v>
      </c>
      <c r="J258" s="1051">
        <f t="shared" si="79"/>
        <v>206.8333333333449</v>
      </c>
      <c r="K258" s="1052">
        <f t="shared" si="79"/>
        <v>174.25000000003467</v>
      </c>
      <c r="L258" s="1052">
        <f t="shared" si="79"/>
        <v>185.5833333333102</v>
      </c>
      <c r="M258" s="1052">
        <f t="shared" si="79"/>
        <v>192.66666666662945</v>
      </c>
      <c r="N258" s="1053">
        <f t="shared" si="79"/>
        <v>127.5</v>
      </c>
      <c r="O258" s="1053">
        <f t="shared" si="79"/>
        <v>138.83333333337956</v>
      </c>
      <c r="P258" s="1053">
        <f t="shared" si="79"/>
        <v>145.91666666668976</v>
      </c>
      <c r="Q258" s="1054">
        <f t="shared" si="79"/>
        <v>120.41666666668978</v>
      </c>
      <c r="R258" s="1054">
        <f t="shared" si="78"/>
        <v>131.74999999996533</v>
      </c>
      <c r="S258" s="1054">
        <f t="shared" si="78"/>
        <v>138.83333333337956</v>
      </c>
      <c r="T258" s="1055">
        <f t="shared" si="78"/>
        <v>113.33333333337956</v>
      </c>
      <c r="U258" s="1055">
        <f t="shared" si="77"/>
        <v>124.6666666666551</v>
      </c>
      <c r="V258" s="1055">
        <f t="shared" si="77"/>
        <v>131.74999999996533</v>
      </c>
      <c r="W258" s="1056">
        <f t="shared" si="77"/>
        <v>106.24999999996533</v>
      </c>
      <c r="X258" s="1056">
        <f t="shared" si="76"/>
        <v>117.5833333333449</v>
      </c>
      <c r="Y258" s="1056">
        <f t="shared" si="76"/>
        <v>124.6666666666551</v>
      </c>
      <c r="Z258" s="1057">
        <f t="shared" si="76"/>
        <v>99.16666666665532</v>
      </c>
      <c r="AA258" s="1057">
        <f t="shared" si="76"/>
        <v>110.50000000003466</v>
      </c>
      <c r="AB258" s="1057">
        <f t="shared" si="76"/>
        <v>117.5833333333449</v>
      </c>
      <c r="AC258" s="1058">
        <f t="shared" si="76"/>
        <v>92.08333333334278</v>
      </c>
      <c r="AD258" s="1058">
        <f t="shared" si="76"/>
        <v>103.41666666662044</v>
      </c>
      <c r="AE258" s="1058">
        <f t="shared" si="76"/>
        <v>110.50000000003466</v>
      </c>
      <c r="AF258" s="1059">
        <f t="shared" si="76"/>
        <v>85.00000000002147</v>
      </c>
      <c r="AG258" s="1059">
        <f t="shared" si="76"/>
        <v>96.33333333331203</v>
      </c>
      <c r="AH258" s="1059">
        <f t="shared" si="72"/>
        <v>103.41666666662044</v>
      </c>
      <c r="AI258" s="1060">
        <f t="shared" si="72"/>
        <v>77.91666666665274</v>
      </c>
      <c r="AJ258" s="1060">
        <f t="shared" si="72"/>
        <v>89.25</v>
      </c>
      <c r="AK258" s="1060">
        <f t="shared" si="72"/>
        <v>96.33333333331203</v>
      </c>
    </row>
    <row r="259" spans="8:8" ht="15.75" customHeight="1">
      <c r="D259" s="1049">
        <f t="shared" si="66"/>
        <v>0.7111111111111608</v>
      </c>
      <c r="E259" s="1050">
        <f t="shared" si="80" ref="E259:E322">E$363*D259</f>
        <v>203.37777777779198</v>
      </c>
      <c r="F259" s="1050">
        <f t="shared" si="81" ref="F259:G290">F$363*$D259</f>
        <v>214.75555555557054</v>
      </c>
      <c r="G259" s="1050">
        <f t="shared" si="81"/>
        <v>221.86666666668216</v>
      </c>
      <c r="H259" s="1051">
        <f t="shared" si="79"/>
        <v>189.1555555555441</v>
      </c>
      <c r="I259" s="1051">
        <f t="shared" si="79"/>
        <v>200.53333333336766</v>
      </c>
      <c r="J259" s="1051">
        <f t="shared" si="79"/>
        <v>207.6444444444559</v>
      </c>
      <c r="K259" s="1052">
        <f t="shared" si="79"/>
        <v>174.93333333336767</v>
      </c>
      <c r="L259" s="1052">
        <f t="shared" si="79"/>
        <v>186.31111111108822</v>
      </c>
      <c r="M259" s="1052">
        <f t="shared" si="79"/>
        <v>193.42222222218544</v>
      </c>
      <c r="N259" s="1053">
        <f t="shared" si="79"/>
        <v>128.0</v>
      </c>
      <c r="O259" s="1053">
        <f t="shared" si="79"/>
        <v>139.37777777782355</v>
      </c>
      <c r="P259" s="1053">
        <f t="shared" si="79"/>
        <v>146.4888888889118</v>
      </c>
      <c r="Q259" s="1054">
        <f t="shared" si="79"/>
        <v>120.88888888891177</v>
      </c>
      <c r="R259" s="1054">
        <f t="shared" si="78"/>
        <v>132.26666666663232</v>
      </c>
      <c r="S259" s="1054">
        <f t="shared" si="78"/>
        <v>139.37777777782355</v>
      </c>
      <c r="T259" s="1055">
        <f t="shared" si="78"/>
        <v>113.77777777782356</v>
      </c>
      <c r="U259" s="1055">
        <f t="shared" si="77"/>
        <v>125.15555555554411</v>
      </c>
      <c r="V259" s="1055">
        <f t="shared" si="77"/>
        <v>132.26666666663232</v>
      </c>
      <c r="W259" s="1056">
        <f t="shared" si="77"/>
        <v>106.66666666663232</v>
      </c>
      <c r="X259" s="1056">
        <f t="shared" si="76"/>
        <v>118.04444444445589</v>
      </c>
      <c r="Y259" s="1056">
        <f t="shared" si="76"/>
        <v>125.15555555554411</v>
      </c>
      <c r="Z259" s="1057">
        <f t="shared" si="76"/>
        <v>99.55555555554422</v>
      </c>
      <c r="AA259" s="1057">
        <f t="shared" si="76"/>
        <v>110.93333333336766</v>
      </c>
      <c r="AB259" s="1057">
        <f t="shared" si="76"/>
        <v>118.04444444445589</v>
      </c>
      <c r="AC259" s="1058">
        <f t="shared" si="76"/>
        <v>92.44444444445388</v>
      </c>
      <c r="AD259" s="1058">
        <f t="shared" si="76"/>
        <v>103.82222222217645</v>
      </c>
      <c r="AE259" s="1058">
        <f t="shared" si="76"/>
        <v>110.93333333336766</v>
      </c>
      <c r="AF259" s="1059">
        <f t="shared" si="76"/>
        <v>85.33333333335477</v>
      </c>
      <c r="AG259" s="1059">
        <f t="shared" si="76"/>
        <v>96.71111111108982</v>
      </c>
      <c r="AH259" s="1059">
        <f t="shared" si="72"/>
        <v>103.82222222217645</v>
      </c>
      <c r="AI259" s="1060">
        <f t="shared" si="72"/>
        <v>78.22222222220825</v>
      </c>
      <c r="AJ259" s="1060">
        <f t="shared" si="72"/>
        <v>89.60000000000001</v>
      </c>
      <c r="AK259" s="1060">
        <f t="shared" si="72"/>
        <v>96.71111111108982</v>
      </c>
    </row>
    <row r="260" spans="8:8" ht="15.75" customHeight="1">
      <c r="D260" s="1049">
        <f t="shared" si="66"/>
        <v>0.7138888888889388</v>
      </c>
      <c r="E260" s="1050">
        <f t="shared" si="80"/>
        <v>204.17222222223648</v>
      </c>
      <c r="F260" s="1050">
        <f t="shared" si="81"/>
        <v>215.5944444444595</v>
      </c>
      <c r="G260" s="1050">
        <f t="shared" si="81"/>
        <v>222.7333333333489</v>
      </c>
      <c r="H260" s="1051">
        <f t="shared" si="79"/>
        <v>189.89444444443313</v>
      </c>
      <c r="I260" s="1051">
        <f t="shared" si="79"/>
        <v>201.31666666670066</v>
      </c>
      <c r="J260" s="1051">
        <f t="shared" si="79"/>
        <v>208.4555555555669</v>
      </c>
      <c r="K260" s="1052">
        <f t="shared" si="79"/>
        <v>175.61666666670067</v>
      </c>
      <c r="L260" s="1052">
        <f t="shared" si="79"/>
        <v>187.0388888888662</v>
      </c>
      <c r="M260" s="1052">
        <f t="shared" si="79"/>
        <v>194.17777777774145</v>
      </c>
      <c r="N260" s="1053">
        <f t="shared" si="79"/>
        <v>128.5</v>
      </c>
      <c r="O260" s="1053">
        <f t="shared" si="79"/>
        <v>139.92222222226755</v>
      </c>
      <c r="P260" s="1053">
        <f t="shared" si="79"/>
        <v>147.06111111113378</v>
      </c>
      <c r="Q260" s="1054">
        <f t="shared" si="79"/>
        <v>121.36111111113377</v>
      </c>
      <c r="R260" s="1054">
        <f t="shared" si="78"/>
        <v>132.7833333332993</v>
      </c>
      <c r="S260" s="1054">
        <f t="shared" si="78"/>
        <v>139.92222222226755</v>
      </c>
      <c r="T260" s="1055">
        <f t="shared" si="78"/>
        <v>114.22222222226756</v>
      </c>
      <c r="U260" s="1055">
        <f t="shared" si="77"/>
        <v>125.6444444444331</v>
      </c>
      <c r="V260" s="1055">
        <f t="shared" si="77"/>
        <v>132.7833333332993</v>
      </c>
      <c r="W260" s="1056">
        <f t="shared" si="77"/>
        <v>107.08333333329932</v>
      </c>
      <c r="X260" s="1056">
        <f t="shared" si="76"/>
        <v>118.50555555556689</v>
      </c>
      <c r="Y260" s="1056">
        <f t="shared" si="76"/>
        <v>125.6444444444331</v>
      </c>
      <c r="Z260" s="1057">
        <f t="shared" si="76"/>
        <v>99.94444444443312</v>
      </c>
      <c r="AA260" s="1057">
        <f t="shared" si="76"/>
        <v>111.36666666670067</v>
      </c>
      <c r="AB260" s="1057">
        <f t="shared" si="76"/>
        <v>118.50555555556689</v>
      </c>
      <c r="AC260" s="1058">
        <f t="shared" si="76"/>
        <v>92.80555555556498</v>
      </c>
      <c r="AD260" s="1058">
        <f t="shared" si="76"/>
        <v>104.22777777773244</v>
      </c>
      <c r="AE260" s="1058">
        <f t="shared" si="76"/>
        <v>111.36666666670067</v>
      </c>
      <c r="AF260" s="1059">
        <f t="shared" si="76"/>
        <v>85.66666666668807</v>
      </c>
      <c r="AG260" s="1059">
        <f t="shared" si="76"/>
        <v>97.08888888886761</v>
      </c>
      <c r="AH260" s="1059">
        <f t="shared" si="72"/>
        <v>104.22777777773244</v>
      </c>
      <c r="AI260" s="1060">
        <f t="shared" si="72"/>
        <v>78.52777777776384</v>
      </c>
      <c r="AJ260" s="1060">
        <f t="shared" si="72"/>
        <v>89.95</v>
      </c>
      <c r="AK260" s="1060">
        <f t="shared" si="72"/>
        <v>97.08888888886761</v>
      </c>
    </row>
    <row r="261" spans="8:8" ht="15.75" customHeight="1">
      <c r="D261" s="1049">
        <f t="shared" si="82" ref="D261:D324">D260+0.2/72</f>
        <v>0.7166666666667167</v>
      </c>
      <c r="E261" s="1050">
        <f t="shared" si="80"/>
        <v>204.966666666681</v>
      </c>
      <c r="F261" s="1050">
        <f t="shared" si="81"/>
        <v>216.43333333334846</v>
      </c>
      <c r="G261" s="1050">
        <f t="shared" si="81"/>
        <v>223.60000000001563</v>
      </c>
      <c r="H261" s="1051">
        <f t="shared" si="79"/>
        <v>190.63333333332213</v>
      </c>
      <c r="I261" s="1051">
        <f t="shared" si="79"/>
        <v>202.10000000003367</v>
      </c>
      <c r="J261" s="1051">
        <f t="shared" si="79"/>
        <v>209.2666666666779</v>
      </c>
      <c r="K261" s="1052">
        <f t="shared" si="79"/>
        <v>176.30000000003366</v>
      </c>
      <c r="L261" s="1052">
        <f t="shared" si="79"/>
        <v>187.7666666666442</v>
      </c>
      <c r="M261" s="1052">
        <f t="shared" si="79"/>
        <v>194.93333333329744</v>
      </c>
      <c r="N261" s="1053">
        <f t="shared" si="79"/>
        <v>129.0</v>
      </c>
      <c r="O261" s="1053">
        <f t="shared" si="79"/>
        <v>140.46666666671155</v>
      </c>
      <c r="P261" s="1053">
        <f t="shared" si="79"/>
        <v>147.63333333335578</v>
      </c>
      <c r="Q261" s="1054">
        <f t="shared" si="79"/>
        <v>121.83333333335577</v>
      </c>
      <c r="R261" s="1054">
        <f t="shared" si="78"/>
        <v>133.29999999996633</v>
      </c>
      <c r="S261" s="1054">
        <f t="shared" si="78"/>
        <v>140.46666666671155</v>
      </c>
      <c r="T261" s="1055">
        <f t="shared" si="78"/>
        <v>114.66666666671156</v>
      </c>
      <c r="U261" s="1055">
        <f t="shared" si="77"/>
        <v>126.1333333333221</v>
      </c>
      <c r="V261" s="1055">
        <f t="shared" si="77"/>
        <v>133.29999999996633</v>
      </c>
      <c r="W261" s="1056">
        <f t="shared" si="77"/>
        <v>107.49999999996633</v>
      </c>
      <c r="X261" s="1056">
        <f t="shared" si="76"/>
        <v>118.9666666666779</v>
      </c>
      <c r="Y261" s="1056">
        <f t="shared" si="76"/>
        <v>126.1333333333221</v>
      </c>
      <c r="Z261" s="1057">
        <f t="shared" si="76"/>
        <v>100.33333333332212</v>
      </c>
      <c r="AA261" s="1057">
        <f t="shared" si="76"/>
        <v>111.80000000003366</v>
      </c>
      <c r="AB261" s="1057">
        <f t="shared" si="76"/>
        <v>118.9666666666779</v>
      </c>
      <c r="AC261" s="1058">
        <f t="shared" si="76"/>
        <v>93.16666666667608</v>
      </c>
      <c r="AD261" s="1058">
        <f t="shared" si="76"/>
        <v>104.63333333328845</v>
      </c>
      <c r="AE261" s="1058">
        <f t="shared" si="76"/>
        <v>111.80000000003366</v>
      </c>
      <c r="AF261" s="1059">
        <f t="shared" si="76"/>
        <v>86.00000000002137</v>
      </c>
      <c r="AG261" s="1059">
        <f t="shared" si="76"/>
        <v>97.46666666664542</v>
      </c>
      <c r="AH261" s="1059">
        <f t="shared" si="72"/>
        <v>104.63333333328845</v>
      </c>
      <c r="AI261" s="1060">
        <f t="shared" si="72"/>
        <v>78.83333333331935</v>
      </c>
      <c r="AJ261" s="1060">
        <f t="shared" si="72"/>
        <v>90.30000000000001</v>
      </c>
      <c r="AK261" s="1060">
        <f t="shared" si="72"/>
        <v>97.46666666664542</v>
      </c>
    </row>
    <row r="262" spans="8:8" ht="15.75" customHeight="1">
      <c r="D262" s="1049">
        <f t="shared" si="82"/>
        <v>0.7194444444444947</v>
      </c>
      <c r="E262" s="1050">
        <f t="shared" si="80"/>
        <v>205.7611111111255</v>
      </c>
      <c r="F262" s="1050">
        <f t="shared" si="81"/>
        <v>217.27222222223742</v>
      </c>
      <c r="G262" s="1050">
        <f t="shared" si="81"/>
        <v>224.46666666668236</v>
      </c>
      <c r="H262" s="1051">
        <f t="shared" si="79"/>
        <v>191.37222222221112</v>
      </c>
      <c r="I262" s="1051">
        <f t="shared" si="79"/>
        <v>202.88333333336666</v>
      </c>
      <c r="J262" s="1051">
        <f t="shared" si="79"/>
        <v>210.0777777777889</v>
      </c>
      <c r="K262" s="1052">
        <f t="shared" si="79"/>
        <v>176.98333333336666</v>
      </c>
      <c r="L262" s="1052">
        <f t="shared" si="79"/>
        <v>188.49444444442221</v>
      </c>
      <c r="M262" s="1052">
        <f t="shared" si="79"/>
        <v>195.68888888885343</v>
      </c>
      <c r="N262" s="1053">
        <f t="shared" si="79"/>
        <v>129.5</v>
      </c>
      <c r="O262" s="1053">
        <f t="shared" si="79"/>
        <v>141.01111111115554</v>
      </c>
      <c r="P262" s="1053">
        <f t="shared" si="79"/>
        <v>148.20555555557777</v>
      </c>
      <c r="Q262" s="1054">
        <f t="shared" si="79"/>
        <v>122.30555555557777</v>
      </c>
      <c r="R262" s="1054">
        <f t="shared" si="83" ref="R262:T267">R263-(R$363/360)</f>
        <v>133.81666666663332</v>
      </c>
      <c r="S262" s="1054">
        <f t="shared" si="83"/>
        <v>141.01111111115554</v>
      </c>
      <c r="T262" s="1055">
        <f t="shared" si="83"/>
        <v>115.11111111115555</v>
      </c>
      <c r="U262" s="1055">
        <f t="shared" si="84" ref="U262:AB279">U263-(U$363/360)</f>
        <v>126.62222222221111</v>
      </c>
      <c r="V262" s="1055">
        <f t="shared" si="84"/>
        <v>133.81666666663332</v>
      </c>
      <c r="W262" s="1056">
        <f t="shared" si="84"/>
        <v>107.91666666663333</v>
      </c>
      <c r="X262" s="1056">
        <f t="shared" si="84"/>
        <v>119.42777777778889</v>
      </c>
      <c r="Y262" s="1056">
        <f t="shared" si="84"/>
        <v>126.62222222221111</v>
      </c>
      <c r="Z262" s="1057">
        <f t="shared" si="84"/>
        <v>100.72222222221112</v>
      </c>
      <c r="AA262" s="1057">
        <f t="shared" si="84"/>
        <v>112.23333333336666</v>
      </c>
      <c r="AB262" s="1057">
        <f t="shared" si="84"/>
        <v>119.42777777778889</v>
      </c>
      <c r="AC262" s="1058">
        <f t="shared" si="76"/>
        <v>93.52777777778718</v>
      </c>
      <c r="AD262" s="1058">
        <f t="shared" si="76"/>
        <v>105.03888888884445</v>
      </c>
      <c r="AE262" s="1058">
        <f t="shared" si="76"/>
        <v>112.23333333336666</v>
      </c>
      <c r="AF262" s="1059">
        <f t="shared" si="76"/>
        <v>86.33333333335467</v>
      </c>
      <c r="AG262" s="1059">
        <f t="shared" si="76"/>
        <v>97.84444444442322</v>
      </c>
      <c r="AH262" s="1059">
        <f t="shared" si="72"/>
        <v>105.03888888884445</v>
      </c>
      <c r="AI262" s="1060">
        <f t="shared" si="72"/>
        <v>79.13888888887494</v>
      </c>
      <c r="AJ262" s="1060">
        <f t="shared" si="72"/>
        <v>90.65</v>
      </c>
      <c r="AK262" s="1060">
        <f t="shared" si="72"/>
        <v>97.84444444442322</v>
      </c>
    </row>
    <row r="263" spans="8:8" ht="15.75" customHeight="1">
      <c r="D263" s="1049">
        <f t="shared" si="82"/>
        <v>0.7222222222222727</v>
      </c>
      <c r="E263" s="1050">
        <f t="shared" si="80"/>
        <v>206.55555555557</v>
      </c>
      <c r="F263" s="1050">
        <f t="shared" si="81"/>
        <v>218.11111111112638</v>
      </c>
      <c r="G263" s="1050">
        <f t="shared" si="81"/>
        <v>225.3333333333491</v>
      </c>
      <c r="H263" s="1051">
        <f t="shared" si="79"/>
        <v>192.11111111110012</v>
      </c>
      <c r="I263" s="1051">
        <f t="shared" si="79"/>
        <v>203.66666666669965</v>
      </c>
      <c r="J263" s="1051">
        <f t="shared" si="79"/>
        <v>210.88888888889988</v>
      </c>
      <c r="K263" s="1052">
        <f t="shared" si="79"/>
        <v>177.66666666669965</v>
      </c>
      <c r="L263" s="1052">
        <f t="shared" si="79"/>
        <v>189.2222222222002</v>
      </c>
      <c r="M263" s="1052">
        <f t="shared" si="79"/>
        <v>196.44444444440944</v>
      </c>
      <c r="N263" s="1053">
        <f t="shared" si="79"/>
        <v>130.0</v>
      </c>
      <c r="O263" s="1053">
        <f t="shared" si="79"/>
        <v>141.55555555559954</v>
      </c>
      <c r="P263" s="1053">
        <f t="shared" si="79"/>
        <v>148.77777777779977</v>
      </c>
      <c r="Q263" s="1054">
        <f t="shared" si="79"/>
        <v>122.77777777779977</v>
      </c>
      <c r="R263" s="1054">
        <f t="shared" si="83"/>
        <v>134.33333333330032</v>
      </c>
      <c r="S263" s="1054">
        <f t="shared" si="83"/>
        <v>141.55555555559954</v>
      </c>
      <c r="T263" s="1055">
        <f t="shared" si="83"/>
        <v>115.55555555559955</v>
      </c>
      <c r="U263" s="1055">
        <f t="shared" si="84"/>
        <v>127.1111111111001</v>
      </c>
      <c r="V263" s="1055">
        <f t="shared" si="84"/>
        <v>134.33333333330032</v>
      </c>
      <c r="W263" s="1056">
        <f t="shared" si="84"/>
        <v>108.33333333330033</v>
      </c>
      <c r="X263" s="1056">
        <f t="shared" si="84"/>
        <v>119.88888888889988</v>
      </c>
      <c r="Y263" s="1056">
        <f t="shared" si="84"/>
        <v>127.1111111111001</v>
      </c>
      <c r="Z263" s="1057">
        <f t="shared" si="84"/>
        <v>101.11111111110012</v>
      </c>
      <c r="AA263" s="1057">
        <f t="shared" si="84"/>
        <v>112.66666666669967</v>
      </c>
      <c r="AB263" s="1057">
        <f t="shared" si="84"/>
        <v>119.88888888889988</v>
      </c>
      <c r="AC263" s="1058">
        <f t="shared" si="76"/>
        <v>93.88888888889828</v>
      </c>
      <c r="AD263" s="1058">
        <f t="shared" si="76"/>
        <v>105.44444444440045</v>
      </c>
      <c r="AE263" s="1058">
        <f t="shared" si="76"/>
        <v>112.66666666669967</v>
      </c>
      <c r="AF263" s="1059">
        <f t="shared" si="76"/>
        <v>86.66666666668797</v>
      </c>
      <c r="AG263" s="1059">
        <f t="shared" si="76"/>
        <v>98.22222222220103</v>
      </c>
      <c r="AH263" s="1059">
        <f t="shared" si="72"/>
        <v>105.44444444440045</v>
      </c>
      <c r="AI263" s="1060">
        <f t="shared" si="72"/>
        <v>79.44444444443045</v>
      </c>
      <c r="AJ263" s="1060">
        <f t="shared" si="72"/>
        <v>91.0</v>
      </c>
      <c r="AK263" s="1060">
        <f t="shared" si="72"/>
        <v>98.22222222220103</v>
      </c>
    </row>
    <row r="264" spans="8:8" ht="15.75" customHeight="1">
      <c r="D264" s="1049">
        <f t="shared" si="82"/>
        <v>0.7250000000000507</v>
      </c>
      <c r="E264" s="1050">
        <f t="shared" si="80"/>
        <v>207.35000000001452</v>
      </c>
      <c r="F264" s="1050">
        <f t="shared" si="81"/>
        <v>218.9500000000153</v>
      </c>
      <c r="G264" s="1050">
        <f t="shared" si="81"/>
        <v>226.20000000001582</v>
      </c>
      <c r="H264" s="1051">
        <f t="shared" si="79"/>
        <v>192.8499999999891</v>
      </c>
      <c r="I264" s="1051">
        <f t="shared" si="79"/>
        <v>204.45000000003267</v>
      </c>
      <c r="J264" s="1051">
        <f t="shared" si="79"/>
        <v>211.7000000000109</v>
      </c>
      <c r="K264" s="1052">
        <f t="shared" si="79"/>
        <v>178.35000000003265</v>
      </c>
      <c r="L264" s="1052">
        <f t="shared" si="79"/>
        <v>189.94999999997822</v>
      </c>
      <c r="M264" s="1052">
        <f t="shared" si="79"/>
        <v>197.19999999996543</v>
      </c>
      <c r="N264" s="1053">
        <f t="shared" si="79"/>
        <v>130.5</v>
      </c>
      <c r="O264" s="1053">
        <f t="shared" si="79"/>
        <v>142.10000000004354</v>
      </c>
      <c r="P264" s="1053">
        <f t="shared" si="79"/>
        <v>149.35000000002177</v>
      </c>
      <c r="Q264" s="1054">
        <f t="shared" si="79"/>
        <v>123.25000000002177</v>
      </c>
      <c r="R264" s="1054">
        <f t="shared" si="83"/>
        <v>134.8499999999673</v>
      </c>
      <c r="S264" s="1054">
        <f t="shared" si="83"/>
        <v>142.10000000004354</v>
      </c>
      <c r="T264" s="1055">
        <f t="shared" si="83"/>
        <v>116.00000000004356</v>
      </c>
      <c r="U264" s="1055">
        <f t="shared" si="84"/>
        <v>127.5999999999891</v>
      </c>
      <c r="V264" s="1055">
        <f t="shared" si="84"/>
        <v>134.8499999999673</v>
      </c>
      <c r="W264" s="1056">
        <f t="shared" si="84"/>
        <v>108.74999999996733</v>
      </c>
      <c r="X264" s="1056">
        <f t="shared" si="84"/>
        <v>120.3500000000109</v>
      </c>
      <c r="Y264" s="1056">
        <f t="shared" si="84"/>
        <v>127.5999999999891</v>
      </c>
      <c r="Z264" s="1057">
        <f t="shared" si="84"/>
        <v>101.49999999998911</v>
      </c>
      <c r="AA264" s="1057">
        <f t="shared" si="84"/>
        <v>113.10000000003267</v>
      </c>
      <c r="AB264" s="1057">
        <f t="shared" si="84"/>
        <v>120.3500000000109</v>
      </c>
      <c r="AC264" s="1058">
        <f t="shared" si="76"/>
        <v>94.25000000000938</v>
      </c>
      <c r="AD264" s="1058">
        <f t="shared" si="76"/>
        <v>105.84999999995645</v>
      </c>
      <c r="AE264" s="1058">
        <f t="shared" si="76"/>
        <v>113.10000000003267</v>
      </c>
      <c r="AF264" s="1059">
        <f t="shared" si="76"/>
        <v>87.00000000002127</v>
      </c>
      <c r="AG264" s="1059">
        <f t="shared" si="76"/>
        <v>98.59999999997882</v>
      </c>
      <c r="AH264" s="1059">
        <f t="shared" si="72"/>
        <v>105.84999999995645</v>
      </c>
      <c r="AI264" s="1060">
        <f t="shared" si="72"/>
        <v>79.74999999998604</v>
      </c>
      <c r="AJ264" s="1060">
        <f t="shared" si="72"/>
        <v>91.35000000000001</v>
      </c>
      <c r="AK264" s="1060">
        <f t="shared" si="72"/>
        <v>98.59999999997882</v>
      </c>
    </row>
    <row r="265" spans="8:8" ht="15.75" customHeight="1">
      <c r="D265" s="1049">
        <f t="shared" si="82"/>
        <v>0.7277777777778288</v>
      </c>
      <c r="E265" s="1050">
        <f t="shared" si="80"/>
        <v>208.14444444445905</v>
      </c>
      <c r="F265" s="1050">
        <f t="shared" si="81"/>
        <v>219.7888888889043</v>
      </c>
      <c r="G265" s="1050">
        <f t="shared" si="81"/>
        <v>227.06666666668258</v>
      </c>
      <c r="H265" s="1051">
        <f t="shared" si="79"/>
        <v>193.58888888887813</v>
      </c>
      <c r="I265" s="1051">
        <f t="shared" si="79"/>
        <v>205.23333333336566</v>
      </c>
      <c r="J265" s="1051">
        <f t="shared" si="79"/>
        <v>212.5111111111219</v>
      </c>
      <c r="K265" s="1052">
        <f t="shared" si="79"/>
        <v>179.03333333336568</v>
      </c>
      <c r="L265" s="1052">
        <f t="shared" si="79"/>
        <v>190.6777777777562</v>
      </c>
      <c r="M265" s="1052">
        <f t="shared" si="79"/>
        <v>197.95555555552144</v>
      </c>
      <c r="N265" s="1053">
        <f t="shared" si="79"/>
        <v>131.0</v>
      </c>
      <c r="O265" s="1053">
        <f t="shared" si="79"/>
        <v>142.64444444448756</v>
      </c>
      <c r="P265" s="1053">
        <f t="shared" si="79"/>
        <v>149.9222222222438</v>
      </c>
      <c r="Q265" s="1054">
        <f t="shared" si="79"/>
        <v>123.72222222224377</v>
      </c>
      <c r="R265" s="1054">
        <f t="shared" si="83"/>
        <v>135.36666666663433</v>
      </c>
      <c r="S265" s="1054">
        <f t="shared" si="83"/>
        <v>142.64444444448756</v>
      </c>
      <c r="T265" s="1055">
        <f t="shared" si="83"/>
        <v>116.44444444448756</v>
      </c>
      <c r="U265" s="1055">
        <f t="shared" si="84"/>
        <v>128.08888888887813</v>
      </c>
      <c r="V265" s="1055">
        <f t="shared" si="84"/>
        <v>135.36666666663433</v>
      </c>
      <c r="W265" s="1056">
        <f t="shared" si="84"/>
        <v>109.16666666663433</v>
      </c>
      <c r="X265" s="1056">
        <f t="shared" si="84"/>
        <v>120.81111111112189</v>
      </c>
      <c r="Y265" s="1056">
        <f t="shared" si="84"/>
        <v>128.08888888887813</v>
      </c>
      <c r="Z265" s="1057">
        <f t="shared" si="84"/>
        <v>101.88888888887811</v>
      </c>
      <c r="AA265" s="1057">
        <f t="shared" si="84"/>
        <v>113.53333333336566</v>
      </c>
      <c r="AB265" s="1057">
        <f t="shared" si="84"/>
        <v>120.81111111112189</v>
      </c>
      <c r="AC265" s="1058">
        <f t="shared" si="76"/>
        <v>94.61111111112048</v>
      </c>
      <c r="AD265" s="1058">
        <f t="shared" si="76"/>
        <v>106.25555555551244</v>
      </c>
      <c r="AE265" s="1058">
        <f t="shared" si="76"/>
        <v>113.53333333336566</v>
      </c>
      <c r="AF265" s="1059">
        <f t="shared" si="76"/>
        <v>87.33333333335457</v>
      </c>
      <c r="AG265" s="1059">
        <f t="shared" si="76"/>
        <v>98.97777777775661</v>
      </c>
      <c r="AH265" s="1059">
        <f t="shared" si="72"/>
        <v>106.25555555551244</v>
      </c>
      <c r="AI265" s="1060">
        <f t="shared" si="72"/>
        <v>80.05555555554155</v>
      </c>
      <c r="AJ265" s="1060">
        <f t="shared" si="72"/>
        <v>91.7</v>
      </c>
      <c r="AK265" s="1060">
        <f t="shared" si="72"/>
        <v>98.97777777775661</v>
      </c>
    </row>
    <row r="266" spans="8:8" ht="15.75" customHeight="1">
      <c r="D266" s="1049">
        <f t="shared" si="82"/>
        <v>0.7305555555556068</v>
      </c>
      <c r="E266" s="1050">
        <f t="shared" si="80"/>
        <v>208.93888888890353</v>
      </c>
      <c r="F266" s="1050">
        <f t="shared" si="81"/>
        <v>220.62777777779326</v>
      </c>
      <c r="G266" s="1050">
        <f t="shared" si="81"/>
        <v>227.9333333333493</v>
      </c>
      <c r="H266" s="1051">
        <f t="shared" si="79"/>
        <v>194.32777777776712</v>
      </c>
      <c r="I266" s="1051">
        <f t="shared" si="79"/>
        <v>206.01666666669865</v>
      </c>
      <c r="J266" s="1051">
        <f t="shared" si="79"/>
        <v>213.3222222222329</v>
      </c>
      <c r="K266" s="1052">
        <f t="shared" si="79"/>
        <v>179.71666666669867</v>
      </c>
      <c r="L266" s="1052">
        <f t="shared" si="79"/>
        <v>191.40555555553422</v>
      </c>
      <c r="M266" s="1052">
        <f t="shared" si="79"/>
        <v>198.71111111107743</v>
      </c>
      <c r="N266" s="1053">
        <f t="shared" si="79"/>
        <v>131.5</v>
      </c>
      <c r="O266" s="1053">
        <f t="shared" si="79"/>
        <v>143.18888888893156</v>
      </c>
      <c r="P266" s="1053">
        <f t="shared" si="79"/>
        <v>150.49444444446578</v>
      </c>
      <c r="Q266" s="1054">
        <f t="shared" si="79"/>
        <v>124.19444444446577</v>
      </c>
      <c r="R266" s="1054">
        <f t="shared" si="83"/>
        <v>135.88333333330132</v>
      </c>
      <c r="S266" s="1054">
        <f t="shared" si="83"/>
        <v>143.18888888893156</v>
      </c>
      <c r="T266" s="1055">
        <f t="shared" si="83"/>
        <v>116.88888888893156</v>
      </c>
      <c r="U266" s="1055">
        <f t="shared" si="84"/>
        <v>128.57777777776712</v>
      </c>
      <c r="V266" s="1055">
        <f t="shared" si="84"/>
        <v>135.88333333330132</v>
      </c>
      <c r="W266" s="1056">
        <f t="shared" si="84"/>
        <v>109.58333333330133</v>
      </c>
      <c r="X266" s="1056">
        <f t="shared" si="84"/>
        <v>121.2722222222329</v>
      </c>
      <c r="Y266" s="1056">
        <f t="shared" si="84"/>
        <v>128.57777777776712</v>
      </c>
      <c r="Z266" s="1057">
        <f t="shared" si="84"/>
        <v>102.27777777776711</v>
      </c>
      <c r="AA266" s="1057">
        <f t="shared" si="84"/>
        <v>113.96666666669866</v>
      </c>
      <c r="AB266" s="1057">
        <f t="shared" si="84"/>
        <v>121.2722222222329</v>
      </c>
      <c r="AC266" s="1058">
        <f t="shared" si="76"/>
        <v>94.97222222223158</v>
      </c>
      <c r="AD266" s="1058">
        <f t="shared" si="76"/>
        <v>106.66111111106845</v>
      </c>
      <c r="AE266" s="1058">
        <f t="shared" si="76"/>
        <v>113.96666666669866</v>
      </c>
      <c r="AF266" s="1059">
        <f t="shared" si="76"/>
        <v>87.66666666668787</v>
      </c>
      <c r="AG266" s="1059">
        <f t="shared" si="76"/>
        <v>99.35555555553442</v>
      </c>
      <c r="AH266" s="1059">
        <f t="shared" si="72"/>
        <v>106.66111111106845</v>
      </c>
      <c r="AI266" s="1060">
        <f t="shared" si="72"/>
        <v>80.36111111109714</v>
      </c>
      <c r="AJ266" s="1060">
        <f t="shared" si="72"/>
        <v>92.05000000000001</v>
      </c>
      <c r="AK266" s="1060">
        <f t="shared" si="72"/>
        <v>99.35555555553442</v>
      </c>
    </row>
    <row r="267" spans="8:8" ht="15.75" customHeight="1">
      <c r="D267" s="1049">
        <f t="shared" si="82"/>
        <v>0.7333333333333848</v>
      </c>
      <c r="E267" s="1050">
        <f t="shared" si="80"/>
        <v>209.73333333334804</v>
      </c>
      <c r="F267" s="1050">
        <f t="shared" si="81"/>
        <v>221.46666666668222</v>
      </c>
      <c r="G267" s="1050">
        <f t="shared" si="81"/>
        <v>228.80000000001607</v>
      </c>
      <c r="H267" s="1051">
        <f t="shared" si="79"/>
        <v>195.06666666665612</v>
      </c>
      <c r="I267" s="1051">
        <f t="shared" si="79"/>
        <v>206.80000000003167</v>
      </c>
      <c r="J267" s="1051">
        <f t="shared" si="79"/>
        <v>214.1333333333439</v>
      </c>
      <c r="K267" s="1052">
        <f t="shared" si="79"/>
        <v>180.40000000003167</v>
      </c>
      <c r="L267" s="1052">
        <f t="shared" si="79"/>
        <v>192.1333333333122</v>
      </c>
      <c r="M267" s="1052">
        <f t="shared" si="79"/>
        <v>199.46666666663344</v>
      </c>
      <c r="N267" s="1053">
        <f t="shared" si="79"/>
        <v>132.0</v>
      </c>
      <c r="O267" s="1053">
        <f t="shared" si="79"/>
        <v>143.73333333337555</v>
      </c>
      <c r="P267" s="1053">
        <f t="shared" si="79"/>
        <v>151.06666666668778</v>
      </c>
      <c r="Q267" s="1054">
        <f t="shared" si="79"/>
        <v>124.66666666668777</v>
      </c>
      <c r="R267" s="1054">
        <f t="shared" si="83"/>
        <v>136.39999999996832</v>
      </c>
      <c r="S267" s="1054">
        <f t="shared" si="83"/>
        <v>143.73333333337555</v>
      </c>
      <c r="T267" s="1055">
        <f t="shared" si="83"/>
        <v>117.33333333337556</v>
      </c>
      <c r="U267" s="1055">
        <f t="shared" si="84"/>
        <v>129.06666666665612</v>
      </c>
      <c r="V267" s="1055">
        <f t="shared" si="84"/>
        <v>136.39999999996832</v>
      </c>
      <c r="W267" s="1056">
        <f t="shared" si="84"/>
        <v>109.99999999996832</v>
      </c>
      <c r="X267" s="1056">
        <f t="shared" si="84"/>
        <v>121.7333333333439</v>
      </c>
      <c r="Y267" s="1056">
        <f t="shared" si="84"/>
        <v>129.06666666665612</v>
      </c>
      <c r="Z267" s="1057">
        <f t="shared" si="84"/>
        <v>102.66666666665611</v>
      </c>
      <c r="AA267" s="1057">
        <f t="shared" si="84"/>
        <v>114.40000000003167</v>
      </c>
      <c r="AB267" s="1057">
        <f t="shared" si="84"/>
        <v>121.7333333333439</v>
      </c>
      <c r="AC267" s="1058">
        <f t="shared" si="76"/>
        <v>95.33333333334268</v>
      </c>
      <c r="AD267" s="1058">
        <f t="shared" si="76"/>
        <v>107.06666666662444</v>
      </c>
      <c r="AE267" s="1058">
        <f t="shared" si="76"/>
        <v>114.40000000003167</v>
      </c>
      <c r="AF267" s="1059">
        <f t="shared" si="76"/>
        <v>88.00000000002117</v>
      </c>
      <c r="AG267" s="1059">
        <f t="shared" si="76"/>
        <v>99.73333333331222</v>
      </c>
      <c r="AH267" s="1059">
        <f t="shared" si="72"/>
        <v>107.06666666662444</v>
      </c>
      <c r="AI267" s="1060">
        <f t="shared" si="72"/>
        <v>80.66666666665274</v>
      </c>
      <c r="AJ267" s="1060">
        <f t="shared" si="72"/>
        <v>92.4</v>
      </c>
      <c r="AK267" s="1060">
        <f t="shared" si="72"/>
        <v>99.73333333331222</v>
      </c>
    </row>
    <row r="268" spans="8:8" ht="15.75" customHeight="1">
      <c r="D268" s="1049">
        <f t="shared" si="82"/>
        <v>0.7361111111111628</v>
      </c>
      <c r="E268" s="1050">
        <f t="shared" si="80"/>
        <v>210.52777777779255</v>
      </c>
      <c r="F268" s="1050">
        <f t="shared" si="81"/>
        <v>222.30555555557117</v>
      </c>
      <c r="G268" s="1050">
        <f t="shared" si="81"/>
        <v>229.6666666666828</v>
      </c>
      <c r="H268" s="1051">
        <f t="shared" si="79"/>
        <v>195.8055555555451</v>
      </c>
      <c r="I268" s="1051">
        <f t="shared" si="79"/>
        <v>207.58333333336466</v>
      </c>
      <c r="J268" s="1051">
        <f t="shared" si="79"/>
        <v>214.9444444444549</v>
      </c>
      <c r="K268" s="1052">
        <f t="shared" si="79"/>
        <v>181.08333333336466</v>
      </c>
      <c r="L268" s="1052">
        <f t="shared" si="79"/>
        <v>192.86111111109022</v>
      </c>
      <c r="M268" s="1052">
        <f t="shared" si="79"/>
        <v>200.22222222218943</v>
      </c>
      <c r="N268" s="1053">
        <f t="shared" si="79"/>
        <v>132.5</v>
      </c>
      <c r="O268" s="1053">
        <f t="shared" si="79"/>
        <v>144.27777777781955</v>
      </c>
      <c r="P268" s="1053">
        <f t="shared" si="79"/>
        <v>151.63888888890978</v>
      </c>
      <c r="Q268" s="1054">
        <f t="shared" si="79"/>
        <v>125.13888888890978</v>
      </c>
      <c r="R268" s="1054">
        <f t="shared" si="85" ref="R268:T283">R269-(R$363/360)</f>
        <v>136.9166666666353</v>
      </c>
      <c r="S268" s="1054">
        <f t="shared" si="85"/>
        <v>144.27777777781955</v>
      </c>
      <c r="T268" s="1055">
        <f t="shared" si="85"/>
        <v>117.77777777781955</v>
      </c>
      <c r="U268" s="1055">
        <f t="shared" si="84"/>
        <v>129.5555555555451</v>
      </c>
      <c r="V268" s="1055">
        <f t="shared" si="84"/>
        <v>136.9166666666353</v>
      </c>
      <c r="W268" s="1056">
        <f t="shared" si="84"/>
        <v>110.41666666663532</v>
      </c>
      <c r="X268" s="1056">
        <f t="shared" si="84"/>
        <v>122.19444444445489</v>
      </c>
      <c r="Y268" s="1056">
        <f t="shared" si="84"/>
        <v>129.5555555555451</v>
      </c>
      <c r="Z268" s="1057">
        <f t="shared" si="84"/>
        <v>103.05555555554511</v>
      </c>
      <c r="AA268" s="1057">
        <f t="shared" si="84"/>
        <v>114.83333333336466</v>
      </c>
      <c r="AB268" s="1057">
        <f t="shared" si="84"/>
        <v>122.19444444445489</v>
      </c>
      <c r="AC268" s="1058">
        <f t="shared" si="76"/>
        <v>95.69444444445378</v>
      </c>
      <c r="AD268" s="1058">
        <f t="shared" si="76"/>
        <v>107.47222222218045</v>
      </c>
      <c r="AE268" s="1058">
        <f t="shared" si="76"/>
        <v>114.83333333336466</v>
      </c>
      <c r="AF268" s="1059">
        <f t="shared" si="76"/>
        <v>88.33333333335447</v>
      </c>
      <c r="AG268" s="1059">
        <f t="shared" si="76"/>
        <v>100.11111111109022</v>
      </c>
      <c r="AH268" s="1059">
        <f t="shared" si="72"/>
        <v>107.47222222218045</v>
      </c>
      <c r="AI268" s="1060">
        <f t="shared" si="72"/>
        <v>80.97222222220825</v>
      </c>
      <c r="AJ268" s="1060">
        <f t="shared" si="72"/>
        <v>92.75</v>
      </c>
      <c r="AK268" s="1060">
        <f t="shared" si="72"/>
        <v>100.11111111109022</v>
      </c>
    </row>
    <row r="269" spans="8:8" ht="15.75" customHeight="1">
      <c r="D269" s="1049">
        <f t="shared" si="82"/>
        <v>0.7388888888889408</v>
      </c>
      <c r="E269" s="1050">
        <f t="shared" si="80"/>
        <v>211.32222222223706</v>
      </c>
      <c r="F269" s="1050">
        <f t="shared" si="81"/>
        <v>223.1444444444601</v>
      </c>
      <c r="G269" s="1050">
        <f t="shared" si="81"/>
        <v>230.53333333334953</v>
      </c>
      <c r="H269" s="1051">
        <f t="shared" si="79"/>
        <v>196.5444444444341</v>
      </c>
      <c r="I269" s="1051">
        <f t="shared" si="79"/>
        <v>208.36666666669768</v>
      </c>
      <c r="J269" s="1051">
        <f t="shared" si="79"/>
        <v>215.7555555555659</v>
      </c>
      <c r="K269" s="1052">
        <f t="shared" si="79"/>
        <v>181.76666666669766</v>
      </c>
      <c r="L269" s="1052">
        <f t="shared" si="79"/>
        <v>193.5888888888682</v>
      </c>
      <c r="M269" s="1052">
        <f t="shared" si="79"/>
        <v>200.97777777774544</v>
      </c>
      <c r="N269" s="1053">
        <f t="shared" si="79"/>
        <v>133.0</v>
      </c>
      <c r="O269" s="1053">
        <f t="shared" si="79"/>
        <v>144.82222222226355</v>
      </c>
      <c r="P269" s="1053">
        <f t="shared" si="79"/>
        <v>152.21111111113177</v>
      </c>
      <c r="Q269" s="1054">
        <f t="shared" si="79"/>
        <v>125.61111111113178</v>
      </c>
      <c r="R269" s="1054">
        <f t="shared" si="85"/>
        <v>137.43333333330233</v>
      </c>
      <c r="S269" s="1054">
        <f t="shared" si="85"/>
        <v>144.82222222226355</v>
      </c>
      <c r="T269" s="1055">
        <f t="shared" si="85"/>
        <v>118.22222222226355</v>
      </c>
      <c r="U269" s="1055">
        <f t="shared" si="84"/>
        <v>130.0444444444341</v>
      </c>
      <c r="V269" s="1055">
        <f t="shared" si="84"/>
        <v>137.43333333330233</v>
      </c>
      <c r="W269" s="1056">
        <f t="shared" si="84"/>
        <v>110.83333333330233</v>
      </c>
      <c r="X269" s="1056">
        <f t="shared" si="84"/>
        <v>122.6555555555659</v>
      </c>
      <c r="Y269" s="1056">
        <f t="shared" si="84"/>
        <v>130.0444444444341</v>
      </c>
      <c r="Z269" s="1057">
        <f t="shared" si="84"/>
        <v>103.44444444443411</v>
      </c>
      <c r="AA269" s="1057">
        <f t="shared" si="84"/>
        <v>115.26666666669766</v>
      </c>
      <c r="AB269" s="1057">
        <f t="shared" si="84"/>
        <v>122.6555555555659</v>
      </c>
      <c r="AC269" s="1058">
        <f t="shared" si="76"/>
        <v>96.05555555556488</v>
      </c>
      <c r="AD269" s="1058">
        <f t="shared" si="76"/>
        <v>107.87777777773645</v>
      </c>
      <c r="AE269" s="1058">
        <f t="shared" si="76"/>
        <v>115.26666666669766</v>
      </c>
      <c r="AF269" s="1059">
        <f t="shared" si="76"/>
        <v>88.66666666668777</v>
      </c>
      <c r="AG269" s="1059">
        <f t="shared" si="76"/>
        <v>100.48888888886822</v>
      </c>
      <c r="AH269" s="1059">
        <f t="shared" si="72"/>
        <v>107.87777777773645</v>
      </c>
      <c r="AI269" s="1060">
        <f t="shared" si="72"/>
        <v>81.27777777776384</v>
      </c>
      <c r="AJ269" s="1060">
        <f t="shared" si="72"/>
        <v>93.10000000000001</v>
      </c>
      <c r="AK269" s="1060">
        <f t="shared" si="72"/>
        <v>100.48888888886822</v>
      </c>
    </row>
    <row r="270" spans="8:8" ht="15.75" customHeight="1">
      <c r="D270" s="1049">
        <f t="shared" si="82"/>
        <v>0.7416666666667188</v>
      </c>
      <c r="E270" s="1050">
        <f t="shared" si="80"/>
        <v>212.11666666668157</v>
      </c>
      <c r="F270" s="1050">
        <f t="shared" si="81"/>
        <v>223.98333333334907</v>
      </c>
      <c r="G270" s="1050">
        <f t="shared" si="81"/>
        <v>231.40000000001626</v>
      </c>
      <c r="H270" s="1051">
        <f t="shared" si="79"/>
        <v>197.28333333332313</v>
      </c>
      <c r="I270" s="1051">
        <f t="shared" si="79"/>
        <v>209.15000000003067</v>
      </c>
      <c r="J270" s="1051">
        <f t="shared" si="79"/>
        <v>216.5666666666769</v>
      </c>
      <c r="K270" s="1052">
        <f t="shared" si="79"/>
        <v>182.45000000003066</v>
      </c>
      <c r="L270" s="1052">
        <f t="shared" si="79"/>
        <v>194.3166666666462</v>
      </c>
      <c r="M270" s="1052">
        <f t="shared" si="79"/>
        <v>201.73333333330143</v>
      </c>
      <c r="N270" s="1053">
        <f t="shared" si="79"/>
        <v>133.5</v>
      </c>
      <c r="O270" s="1053">
        <f t="shared" si="79"/>
        <v>145.36666666670754</v>
      </c>
      <c r="P270" s="1053">
        <f t="shared" si="79"/>
        <v>152.78333333335377</v>
      </c>
      <c r="Q270" s="1054">
        <f t="shared" si="79"/>
        <v>126.08333333335378</v>
      </c>
      <c r="R270" s="1054">
        <f t="shared" si="85"/>
        <v>137.94999999996932</v>
      </c>
      <c r="S270" s="1054">
        <f t="shared" si="85"/>
        <v>145.36666666670754</v>
      </c>
      <c r="T270" s="1055">
        <f t="shared" si="85"/>
        <v>118.66666666670756</v>
      </c>
      <c r="U270" s="1055">
        <f t="shared" si="84"/>
        <v>130.53333333332313</v>
      </c>
      <c r="V270" s="1055">
        <f t="shared" si="84"/>
        <v>137.94999999996932</v>
      </c>
      <c r="W270" s="1056">
        <f t="shared" si="84"/>
        <v>111.24999999996933</v>
      </c>
      <c r="X270" s="1056">
        <f t="shared" si="84"/>
        <v>123.11666666667689</v>
      </c>
      <c r="Y270" s="1056">
        <f t="shared" si="84"/>
        <v>130.53333333332313</v>
      </c>
      <c r="Z270" s="1057">
        <f t="shared" si="84"/>
        <v>103.83333333332311</v>
      </c>
      <c r="AA270" s="1057">
        <f t="shared" si="84"/>
        <v>115.70000000003067</v>
      </c>
      <c r="AB270" s="1057">
        <f t="shared" si="84"/>
        <v>123.11666666667689</v>
      </c>
      <c r="AC270" s="1058">
        <f t="shared" si="76"/>
        <v>96.41666666667598</v>
      </c>
      <c r="AD270" s="1058">
        <f t="shared" si="76"/>
        <v>108.28333333329245</v>
      </c>
      <c r="AE270" s="1058">
        <f t="shared" si="76"/>
        <v>115.70000000003067</v>
      </c>
      <c r="AF270" s="1059">
        <f t="shared" si="76"/>
        <v>89.00000000002107</v>
      </c>
      <c r="AG270" s="1059">
        <f t="shared" si="76"/>
        <v>100.86666666664622</v>
      </c>
      <c r="AH270" s="1059">
        <f t="shared" si="72"/>
        <v>108.28333333329245</v>
      </c>
      <c r="AI270" s="1060">
        <f t="shared" si="72"/>
        <v>81.58333333331935</v>
      </c>
      <c r="AJ270" s="1060">
        <f t="shared" si="72"/>
        <v>93.45</v>
      </c>
      <c r="AK270" s="1060">
        <f t="shared" si="72"/>
        <v>100.86666666664622</v>
      </c>
    </row>
    <row r="271" spans="8:8" ht="15.75" customHeight="1">
      <c r="D271" s="1049">
        <f t="shared" si="82"/>
        <v>0.7444444444444968</v>
      </c>
      <c r="E271" s="1050">
        <f t="shared" si="80"/>
        <v>212.91111111112608</v>
      </c>
      <c r="F271" s="1050">
        <f t="shared" si="81"/>
        <v>224.82222222223803</v>
      </c>
      <c r="G271" s="1050">
        <f t="shared" si="81"/>
        <v>232.266666666683</v>
      </c>
      <c r="H271" s="1051">
        <f t="shared" si="79"/>
        <v>198.02222222221212</v>
      </c>
      <c r="I271" s="1051">
        <f t="shared" si="79"/>
        <v>209.93333333336366</v>
      </c>
      <c r="J271" s="1051">
        <f t="shared" si="79"/>
        <v>217.37777777778788</v>
      </c>
      <c r="K271" s="1052">
        <f t="shared" si="79"/>
        <v>183.13333333336365</v>
      </c>
      <c r="L271" s="1052">
        <f t="shared" si="79"/>
        <v>195.04444444442422</v>
      </c>
      <c r="M271" s="1052">
        <f t="shared" si="79"/>
        <v>202.48888888885745</v>
      </c>
      <c r="N271" s="1053">
        <f t="shared" si="79"/>
        <v>134.0</v>
      </c>
      <c r="O271" s="1053">
        <f t="shared" si="79"/>
        <v>145.91111111115154</v>
      </c>
      <c r="P271" s="1053">
        <f t="shared" si="79"/>
        <v>153.3555555555758</v>
      </c>
      <c r="Q271" s="1054">
        <f t="shared" si="79"/>
        <v>126.55555555557576</v>
      </c>
      <c r="R271" s="1054">
        <f t="shared" si="85"/>
        <v>138.4666666666363</v>
      </c>
      <c r="S271" s="1054">
        <f t="shared" si="85"/>
        <v>145.91111111115154</v>
      </c>
      <c r="T271" s="1055">
        <f t="shared" si="85"/>
        <v>119.11111111115156</v>
      </c>
      <c r="U271" s="1055">
        <f t="shared" si="84"/>
        <v>131.02222222221212</v>
      </c>
      <c r="V271" s="1055">
        <f t="shared" si="84"/>
        <v>138.4666666666363</v>
      </c>
      <c r="W271" s="1056">
        <f t="shared" si="84"/>
        <v>111.66666666663633</v>
      </c>
      <c r="X271" s="1056">
        <f t="shared" si="84"/>
        <v>123.57777777778789</v>
      </c>
      <c r="Y271" s="1056">
        <f t="shared" si="84"/>
        <v>131.02222222221212</v>
      </c>
      <c r="Z271" s="1057">
        <f t="shared" si="84"/>
        <v>104.22222222221211</v>
      </c>
      <c r="AA271" s="1057">
        <f t="shared" si="84"/>
        <v>116.13333333336367</v>
      </c>
      <c r="AB271" s="1057">
        <f t="shared" si="84"/>
        <v>123.57777777778789</v>
      </c>
      <c r="AC271" s="1058">
        <f t="shared" si="76"/>
        <v>96.77777777778708</v>
      </c>
      <c r="AD271" s="1058">
        <f t="shared" si="76"/>
        <v>108.68888888884845</v>
      </c>
      <c r="AE271" s="1058">
        <f t="shared" si="76"/>
        <v>116.13333333336367</v>
      </c>
      <c r="AF271" s="1059">
        <f t="shared" si="76"/>
        <v>89.33333333335437</v>
      </c>
      <c r="AG271" s="1059">
        <f t="shared" si="76"/>
        <v>101.24444444442422</v>
      </c>
      <c r="AH271" s="1059">
        <f t="shared" si="72"/>
        <v>108.68888888884845</v>
      </c>
      <c r="AI271" s="1060">
        <f t="shared" si="72"/>
        <v>81.88888888887494</v>
      </c>
      <c r="AJ271" s="1060">
        <f t="shared" si="72"/>
        <v>93.80000000000001</v>
      </c>
      <c r="AK271" s="1060">
        <f t="shared" si="72"/>
        <v>101.24444444442422</v>
      </c>
    </row>
    <row r="272" spans="8:8" ht="15.75" customHeight="1">
      <c r="D272" s="1049">
        <f t="shared" si="82"/>
        <v>0.7472222222222747</v>
      </c>
      <c r="E272" s="1050">
        <f t="shared" si="80"/>
        <v>213.70555555557058</v>
      </c>
      <c r="F272" s="1050">
        <f t="shared" si="81"/>
        <v>225.66111111112698</v>
      </c>
      <c r="G272" s="1050">
        <f t="shared" si="81"/>
        <v>233.13333333334973</v>
      </c>
      <c r="H272" s="1051">
        <f t="shared" si="79"/>
        <v>198.76111111110112</v>
      </c>
      <c r="I272" s="1051">
        <f t="shared" si="79"/>
        <v>210.71666666669668</v>
      </c>
      <c r="J272" s="1051">
        <f t="shared" si="79"/>
        <v>218.1888888888989</v>
      </c>
      <c r="K272" s="1052">
        <f t="shared" si="79"/>
        <v>183.81666666669668</v>
      </c>
      <c r="L272" s="1052">
        <f t="shared" si="79"/>
        <v>195.7722222222022</v>
      </c>
      <c r="M272" s="1052">
        <f t="shared" si="79"/>
        <v>203.24444444441343</v>
      </c>
      <c r="N272" s="1053">
        <f t="shared" si="79"/>
        <v>134.5</v>
      </c>
      <c r="O272" s="1053">
        <f t="shared" si="79"/>
        <v>146.45555555559554</v>
      </c>
      <c r="P272" s="1053">
        <f t="shared" si="79"/>
        <v>153.9277777777978</v>
      </c>
      <c r="Q272" s="1054">
        <f t="shared" si="79"/>
        <v>127.02777777779777</v>
      </c>
      <c r="R272" s="1054">
        <f t="shared" si="85"/>
        <v>138.9833333333033</v>
      </c>
      <c r="S272" s="1054">
        <f t="shared" si="85"/>
        <v>146.45555555559554</v>
      </c>
      <c r="T272" s="1055">
        <f t="shared" si="85"/>
        <v>119.55555555559556</v>
      </c>
      <c r="U272" s="1055">
        <f t="shared" si="84"/>
        <v>131.51111111110112</v>
      </c>
      <c r="V272" s="1055">
        <f t="shared" si="84"/>
        <v>138.9833333333033</v>
      </c>
      <c r="W272" s="1056">
        <f t="shared" si="84"/>
        <v>112.08333333330333</v>
      </c>
      <c r="X272" s="1056">
        <f t="shared" si="84"/>
        <v>124.0388888888989</v>
      </c>
      <c r="Y272" s="1056">
        <f t="shared" si="84"/>
        <v>131.51111111110112</v>
      </c>
      <c r="Z272" s="1057">
        <f t="shared" si="84"/>
        <v>104.61111111110111</v>
      </c>
      <c r="AA272" s="1057">
        <f t="shared" si="84"/>
        <v>116.56666666669666</v>
      </c>
      <c r="AB272" s="1057">
        <f t="shared" si="84"/>
        <v>124.0388888888989</v>
      </c>
      <c r="AC272" s="1058">
        <f t="shared" si="76"/>
        <v>97.13888888889818</v>
      </c>
      <c r="AD272" s="1058">
        <f t="shared" si="76"/>
        <v>109.09444444440444</v>
      </c>
      <c r="AE272" s="1058">
        <f t="shared" si="76"/>
        <v>116.56666666669666</v>
      </c>
      <c r="AF272" s="1059">
        <f t="shared" si="76"/>
        <v>89.66666666668768</v>
      </c>
      <c r="AG272" s="1059">
        <f t="shared" si="76"/>
        <v>101.62222222220223</v>
      </c>
      <c r="AH272" s="1059">
        <f t="shared" si="76"/>
        <v>109.09444444440444</v>
      </c>
      <c r="AI272" s="1060">
        <f t="shared" si="76"/>
        <v>82.19444444443045</v>
      </c>
      <c r="AJ272" s="1060">
        <f t="shared" si="76"/>
        <v>94.15</v>
      </c>
      <c r="AK272" s="1060">
        <f t="shared" si="76"/>
        <v>101.62222222220223</v>
      </c>
    </row>
    <row r="273" spans="8:8" ht="15.75" customHeight="1">
      <c r="D273" s="1049">
        <f t="shared" si="82"/>
        <v>0.7500000000000527</v>
      </c>
      <c r="E273" s="1050">
        <f t="shared" si="80"/>
        <v>214.5000000000151</v>
      </c>
      <c r="F273" s="1050">
        <f t="shared" si="81"/>
        <v>226.50000000001592</v>
      </c>
      <c r="G273" s="1050">
        <f t="shared" si="81"/>
        <v>234.00000000001646</v>
      </c>
      <c r="H273" s="1051">
        <f t="shared" si="79"/>
        <v>199.4999999999901</v>
      </c>
      <c r="I273" s="1051">
        <f t="shared" si="86" ref="H273:Q292">I274-(I$363/360)</f>
        <v>211.50000000002967</v>
      </c>
      <c r="J273" s="1051">
        <f t="shared" si="86"/>
        <v>219.0000000000099</v>
      </c>
      <c r="K273" s="1052">
        <f t="shared" si="86"/>
        <v>184.50000000002967</v>
      </c>
      <c r="L273" s="1052">
        <f t="shared" si="86"/>
        <v>196.49999999998022</v>
      </c>
      <c r="M273" s="1052">
        <f t="shared" si="86"/>
        <v>203.99999999996945</v>
      </c>
      <c r="N273" s="1053">
        <f t="shared" si="86"/>
        <v>135.0</v>
      </c>
      <c r="O273" s="1053">
        <f t="shared" si="86"/>
        <v>147.00000000003953</v>
      </c>
      <c r="P273" s="1053">
        <f t="shared" si="86"/>
        <v>154.50000000001978</v>
      </c>
      <c r="Q273" s="1054">
        <f t="shared" si="86"/>
        <v>127.50000000001977</v>
      </c>
      <c r="R273" s="1054">
        <f t="shared" si="85"/>
        <v>139.49999999997033</v>
      </c>
      <c r="S273" s="1054">
        <f t="shared" si="85"/>
        <v>147.00000000003953</v>
      </c>
      <c r="T273" s="1055">
        <f t="shared" si="85"/>
        <v>120.00000000003956</v>
      </c>
      <c r="U273" s="1055">
        <f t="shared" si="84"/>
        <v>131.9999999999901</v>
      </c>
      <c r="V273" s="1055">
        <f t="shared" si="84"/>
        <v>139.49999999997033</v>
      </c>
      <c r="W273" s="1056">
        <f t="shared" si="84"/>
        <v>112.49999999997033</v>
      </c>
      <c r="X273" s="1056">
        <f t="shared" si="84"/>
        <v>124.50000000000989</v>
      </c>
      <c r="Y273" s="1056">
        <f t="shared" si="84"/>
        <v>131.9999999999901</v>
      </c>
      <c r="Z273" s="1057">
        <f t="shared" si="84"/>
        <v>104.99999999999011</v>
      </c>
      <c r="AA273" s="1057">
        <f t="shared" si="84"/>
        <v>117.00000000002966</v>
      </c>
      <c r="AB273" s="1057">
        <f t="shared" si="84"/>
        <v>124.50000000000989</v>
      </c>
      <c r="AC273" s="1058">
        <f t="shared" si="76"/>
        <v>97.50000000000928</v>
      </c>
      <c r="AD273" s="1058">
        <f t="shared" si="76"/>
        <v>109.49999999996045</v>
      </c>
      <c r="AE273" s="1058">
        <f t="shared" si="76"/>
        <v>117.00000000002966</v>
      </c>
      <c r="AF273" s="1059">
        <f t="shared" si="76"/>
        <v>90.00000000002098</v>
      </c>
      <c r="AG273" s="1059">
        <f t="shared" si="76"/>
        <v>101.99999999998022</v>
      </c>
      <c r="AH273" s="1059">
        <f t="shared" si="76"/>
        <v>109.49999999996045</v>
      </c>
      <c r="AI273" s="1060">
        <f t="shared" si="76"/>
        <v>82.49999999998604</v>
      </c>
      <c r="AJ273" s="1060">
        <f t="shared" si="76"/>
        <v>94.5</v>
      </c>
      <c r="AK273" s="1060">
        <f t="shared" si="76"/>
        <v>101.99999999998022</v>
      </c>
    </row>
    <row r="274" spans="8:8" ht="15.75" customHeight="1">
      <c r="D274" s="1049">
        <f t="shared" si="82"/>
        <v>0.7527777777778307</v>
      </c>
      <c r="E274" s="1050">
        <f t="shared" si="80"/>
        <v>215.2944444444596</v>
      </c>
      <c r="F274" s="1050">
        <f t="shared" si="81"/>
        <v>227.33888888890488</v>
      </c>
      <c r="G274" s="1050">
        <f t="shared" si="81"/>
        <v>234.8666666666832</v>
      </c>
      <c r="H274" s="1051">
        <f t="shared" si="86"/>
        <v>200.23888888887913</v>
      </c>
      <c r="I274" s="1051">
        <f t="shared" si="86"/>
        <v>212.28333333336266</v>
      </c>
      <c r="J274" s="1051">
        <f t="shared" si="86"/>
        <v>219.8111111111209</v>
      </c>
      <c r="K274" s="1052">
        <f t="shared" si="86"/>
        <v>185.18333333336267</v>
      </c>
      <c r="L274" s="1052">
        <f t="shared" si="86"/>
        <v>197.2277777777582</v>
      </c>
      <c r="M274" s="1052">
        <f t="shared" si="86"/>
        <v>204.75555555552543</v>
      </c>
      <c r="N274" s="1053">
        <f t="shared" si="86"/>
        <v>135.5</v>
      </c>
      <c r="O274" s="1053">
        <f t="shared" si="86"/>
        <v>147.54444444448356</v>
      </c>
      <c r="P274" s="1053">
        <f t="shared" si="86"/>
        <v>155.07222222224178</v>
      </c>
      <c r="Q274" s="1054">
        <f t="shared" si="86"/>
        <v>127.97222222224178</v>
      </c>
      <c r="R274" s="1054">
        <f t="shared" si="85"/>
        <v>140.01666666663732</v>
      </c>
      <c r="S274" s="1054">
        <f t="shared" si="85"/>
        <v>147.54444444448356</v>
      </c>
      <c r="T274" s="1055">
        <f t="shared" si="85"/>
        <v>120.44444444448355</v>
      </c>
      <c r="U274" s="1055">
        <f t="shared" si="84"/>
        <v>132.48888888887913</v>
      </c>
      <c r="V274" s="1055">
        <f t="shared" si="84"/>
        <v>140.01666666663732</v>
      </c>
      <c r="W274" s="1056">
        <f t="shared" si="84"/>
        <v>112.91666666663733</v>
      </c>
      <c r="X274" s="1056">
        <f t="shared" si="84"/>
        <v>124.96111111112089</v>
      </c>
      <c r="Y274" s="1056">
        <f t="shared" si="84"/>
        <v>132.48888888887913</v>
      </c>
      <c r="Z274" s="1057">
        <f t="shared" si="84"/>
        <v>105.38888888887911</v>
      </c>
      <c r="AA274" s="1057">
        <f t="shared" si="84"/>
        <v>117.43333333336267</v>
      </c>
      <c r="AB274" s="1057">
        <f t="shared" si="84"/>
        <v>124.96111111112089</v>
      </c>
      <c r="AC274" s="1058">
        <f t="shared" si="76"/>
        <v>97.86111111112038</v>
      </c>
      <c r="AD274" s="1058">
        <f t="shared" si="76"/>
        <v>109.90555555551644</v>
      </c>
      <c r="AE274" s="1058">
        <f t="shared" si="76"/>
        <v>117.43333333336267</v>
      </c>
      <c r="AF274" s="1059">
        <f t="shared" si="76"/>
        <v>90.33333333335428</v>
      </c>
      <c r="AG274" s="1059">
        <f t="shared" si="76"/>
        <v>102.37777777775823</v>
      </c>
      <c r="AH274" s="1059">
        <f t="shared" si="76"/>
        <v>109.90555555551644</v>
      </c>
      <c r="AI274" s="1060">
        <f t="shared" si="76"/>
        <v>82.80555555554155</v>
      </c>
      <c r="AJ274" s="1060">
        <f t="shared" si="87" ref="AC274:AK293">AJ275-(AJ$363/360)</f>
        <v>94.85000000000001</v>
      </c>
      <c r="AK274" s="1060">
        <f t="shared" si="87"/>
        <v>102.37777777775823</v>
      </c>
    </row>
    <row r="275" spans="8:8" ht="15.75" customHeight="1">
      <c r="D275" s="1049">
        <f t="shared" si="82"/>
        <v>0.7555555555556087</v>
      </c>
      <c r="E275" s="1050">
        <f t="shared" si="80"/>
        <v>216.08888888890408</v>
      </c>
      <c r="F275" s="1050">
        <f t="shared" si="81"/>
        <v>228.17777777779384</v>
      </c>
      <c r="G275" s="1050">
        <f t="shared" si="81"/>
        <v>235.73333333334992</v>
      </c>
      <c r="H275" s="1051">
        <f t="shared" si="86"/>
        <v>200.97777777776813</v>
      </c>
      <c r="I275" s="1051">
        <f t="shared" si="86"/>
        <v>213.06666666669568</v>
      </c>
      <c r="J275" s="1051">
        <f t="shared" si="86"/>
        <v>220.6222222222319</v>
      </c>
      <c r="K275" s="1052">
        <f t="shared" si="86"/>
        <v>185.86666666669566</v>
      </c>
      <c r="L275" s="1052">
        <f t="shared" si="86"/>
        <v>197.95555555553622</v>
      </c>
      <c r="M275" s="1052">
        <f t="shared" si="86"/>
        <v>205.51111111108145</v>
      </c>
      <c r="N275" s="1053">
        <f t="shared" si="86"/>
        <v>136.0</v>
      </c>
      <c r="O275" s="1053">
        <f t="shared" si="86"/>
        <v>148.08888888892756</v>
      </c>
      <c r="P275" s="1053">
        <f t="shared" si="86"/>
        <v>155.64444444446377</v>
      </c>
      <c r="Q275" s="1054">
        <f t="shared" si="86"/>
        <v>128.44444444446378</v>
      </c>
      <c r="R275" s="1054">
        <f t="shared" si="85"/>
        <v>140.5333333333043</v>
      </c>
      <c r="S275" s="1054">
        <f t="shared" si="85"/>
        <v>148.08888888892756</v>
      </c>
      <c r="T275" s="1055">
        <f t="shared" si="85"/>
        <v>120.88888888892755</v>
      </c>
      <c r="U275" s="1055">
        <f t="shared" si="84"/>
        <v>132.97777777776813</v>
      </c>
      <c r="V275" s="1055">
        <f t="shared" si="84"/>
        <v>140.5333333333043</v>
      </c>
      <c r="W275" s="1056">
        <f t="shared" si="84"/>
        <v>113.33333333330432</v>
      </c>
      <c r="X275" s="1056">
        <f t="shared" si="84"/>
        <v>125.4222222222319</v>
      </c>
      <c r="Y275" s="1056">
        <f t="shared" si="84"/>
        <v>132.97777777776813</v>
      </c>
      <c r="Z275" s="1057">
        <f t="shared" si="84"/>
        <v>105.77777777776811</v>
      </c>
      <c r="AA275" s="1057">
        <f t="shared" si="84"/>
        <v>117.86666666669566</v>
      </c>
      <c r="AB275" s="1057">
        <f t="shared" si="84"/>
        <v>125.4222222222319</v>
      </c>
      <c r="AC275" s="1058">
        <f t="shared" si="87"/>
        <v>98.22222222223148</v>
      </c>
      <c r="AD275" s="1058">
        <f t="shared" si="87"/>
        <v>110.31111111107245</v>
      </c>
      <c r="AE275" s="1058">
        <f t="shared" si="87"/>
        <v>117.86666666669566</v>
      </c>
      <c r="AF275" s="1059">
        <f t="shared" si="87"/>
        <v>90.66666666668758</v>
      </c>
      <c r="AG275" s="1059">
        <f t="shared" si="87"/>
        <v>102.75555555553622</v>
      </c>
      <c r="AH275" s="1059">
        <f t="shared" si="87"/>
        <v>110.31111111107245</v>
      </c>
      <c r="AI275" s="1060">
        <f t="shared" si="87"/>
        <v>83.11111111109714</v>
      </c>
      <c r="AJ275" s="1060">
        <f t="shared" si="87"/>
        <v>95.2</v>
      </c>
      <c r="AK275" s="1060">
        <f t="shared" si="87"/>
        <v>102.75555555553622</v>
      </c>
    </row>
    <row r="276" spans="8:8" ht="15.75" customHeight="1">
      <c r="D276" s="1049">
        <f t="shared" si="82"/>
        <v>0.7583333333333868</v>
      </c>
      <c r="E276" s="1050">
        <f t="shared" si="80"/>
        <v>216.88333333334862</v>
      </c>
      <c r="F276" s="1050">
        <f t="shared" si="81"/>
        <v>229.01666666668282</v>
      </c>
      <c r="G276" s="1050">
        <f t="shared" si="81"/>
        <v>236.60000000001668</v>
      </c>
      <c r="H276" s="1051">
        <f t="shared" si="86"/>
        <v>201.71666666665712</v>
      </c>
      <c r="I276" s="1051">
        <f t="shared" si="86"/>
        <v>213.85000000002867</v>
      </c>
      <c r="J276" s="1051">
        <f t="shared" si="86"/>
        <v>221.4333333333429</v>
      </c>
      <c r="K276" s="1052">
        <f t="shared" si="86"/>
        <v>186.55000000002866</v>
      </c>
      <c r="L276" s="1052">
        <f t="shared" si="86"/>
        <v>198.6833333333142</v>
      </c>
      <c r="M276" s="1052">
        <f t="shared" si="86"/>
        <v>206.26666666663743</v>
      </c>
      <c r="N276" s="1053">
        <f t="shared" si="86"/>
        <v>136.5</v>
      </c>
      <c r="O276" s="1053">
        <f t="shared" si="86"/>
        <v>148.63333333337155</v>
      </c>
      <c r="P276" s="1053">
        <f t="shared" si="86"/>
        <v>156.21666666668577</v>
      </c>
      <c r="Q276" s="1054">
        <f t="shared" si="86"/>
        <v>128.91666666668579</v>
      </c>
      <c r="R276" s="1054">
        <f t="shared" si="85"/>
        <v>141.04999999997133</v>
      </c>
      <c r="S276" s="1054">
        <f t="shared" si="85"/>
        <v>148.63333333337155</v>
      </c>
      <c r="T276" s="1055">
        <f t="shared" si="85"/>
        <v>121.33333333337156</v>
      </c>
      <c r="U276" s="1055">
        <f t="shared" si="84"/>
        <v>133.46666666665712</v>
      </c>
      <c r="V276" s="1055">
        <f t="shared" si="84"/>
        <v>141.04999999997133</v>
      </c>
      <c r="W276" s="1056">
        <f t="shared" si="84"/>
        <v>113.74999999997132</v>
      </c>
      <c r="X276" s="1056">
        <f t="shared" si="84"/>
        <v>125.88333333334289</v>
      </c>
      <c r="Y276" s="1056">
        <f t="shared" si="84"/>
        <v>133.46666666665712</v>
      </c>
      <c r="Z276" s="1057">
        <f t="shared" si="84"/>
        <v>106.16666666665711</v>
      </c>
      <c r="AA276" s="1057">
        <f t="shared" si="84"/>
        <v>118.30000000002866</v>
      </c>
      <c r="AB276" s="1057">
        <f t="shared" si="84"/>
        <v>125.88333333334289</v>
      </c>
      <c r="AC276" s="1058">
        <f t="shared" si="87"/>
        <v>98.58333333334258</v>
      </c>
      <c r="AD276" s="1058">
        <f t="shared" si="87"/>
        <v>110.71666666662846</v>
      </c>
      <c r="AE276" s="1058">
        <f t="shared" si="87"/>
        <v>118.30000000002866</v>
      </c>
      <c r="AF276" s="1059">
        <f t="shared" si="87"/>
        <v>91.00000000002088</v>
      </c>
      <c r="AG276" s="1059">
        <f t="shared" si="87"/>
        <v>103.13333333331423</v>
      </c>
      <c r="AH276" s="1059">
        <f t="shared" si="87"/>
        <v>110.71666666662846</v>
      </c>
      <c r="AI276" s="1060">
        <f t="shared" si="87"/>
        <v>83.41666666665274</v>
      </c>
      <c r="AJ276" s="1060">
        <f t="shared" si="87"/>
        <v>95.55000000000001</v>
      </c>
      <c r="AK276" s="1060">
        <f t="shared" si="87"/>
        <v>103.13333333331423</v>
      </c>
    </row>
    <row r="277" spans="8:8" ht="15.75" customHeight="1">
      <c r="D277" s="1049">
        <f t="shared" si="82"/>
        <v>0.7611111111111648</v>
      </c>
      <c r="E277" s="1050">
        <f t="shared" si="80"/>
        <v>217.67777777779312</v>
      </c>
      <c r="F277" s="1050">
        <f t="shared" si="81"/>
        <v>229.85555555557178</v>
      </c>
      <c r="G277" s="1050">
        <f t="shared" si="81"/>
        <v>237.4666666666834</v>
      </c>
      <c r="H277" s="1051">
        <f t="shared" si="86"/>
        <v>202.4555555555461</v>
      </c>
      <c r="I277" s="1051">
        <f t="shared" si="86"/>
        <v>214.63333333336166</v>
      </c>
      <c r="J277" s="1051">
        <f t="shared" si="86"/>
        <v>222.2444444444539</v>
      </c>
      <c r="K277" s="1052">
        <f t="shared" si="86"/>
        <v>187.23333333336166</v>
      </c>
      <c r="L277" s="1052">
        <f t="shared" si="86"/>
        <v>199.41111111109223</v>
      </c>
      <c r="M277" s="1052">
        <f t="shared" si="86"/>
        <v>207.02222222219345</v>
      </c>
      <c r="N277" s="1053">
        <f t="shared" si="86"/>
        <v>137.0</v>
      </c>
      <c r="O277" s="1053">
        <f t="shared" si="86"/>
        <v>149.17777777781555</v>
      </c>
      <c r="P277" s="1053">
        <f t="shared" si="86"/>
        <v>156.78888888890776</v>
      </c>
      <c r="Q277" s="1054">
        <f t="shared" si="86"/>
        <v>129.38888888890776</v>
      </c>
      <c r="R277" s="1054">
        <f t="shared" si="85"/>
        <v>141.56666666663833</v>
      </c>
      <c r="S277" s="1054">
        <f t="shared" si="85"/>
        <v>149.17777777781555</v>
      </c>
      <c r="T277" s="1055">
        <f t="shared" si="85"/>
        <v>121.77777777781556</v>
      </c>
      <c r="U277" s="1055">
        <f t="shared" si="84"/>
        <v>133.9555555555461</v>
      </c>
      <c r="V277" s="1055">
        <f t="shared" si="84"/>
        <v>141.56666666663833</v>
      </c>
      <c r="W277" s="1056">
        <f t="shared" si="84"/>
        <v>114.16666666663833</v>
      </c>
      <c r="X277" s="1056">
        <f t="shared" si="84"/>
        <v>126.34444444445388</v>
      </c>
      <c r="Y277" s="1056">
        <f t="shared" si="84"/>
        <v>133.9555555555461</v>
      </c>
      <c r="Z277" s="1057">
        <f t="shared" si="84"/>
        <v>106.55555555554612</v>
      </c>
      <c r="AA277" s="1057">
        <f t="shared" si="84"/>
        <v>118.73333333336166</v>
      </c>
      <c r="AB277" s="1057">
        <f t="shared" si="84"/>
        <v>126.34444444445388</v>
      </c>
      <c r="AC277" s="1058">
        <f t="shared" si="87"/>
        <v>98.94444444445368</v>
      </c>
      <c r="AD277" s="1058">
        <f t="shared" si="87"/>
        <v>111.12222222218445</v>
      </c>
      <c r="AE277" s="1058">
        <f t="shared" si="87"/>
        <v>118.73333333336166</v>
      </c>
      <c r="AF277" s="1059">
        <f t="shared" si="87"/>
        <v>91.33333333335418</v>
      </c>
      <c r="AG277" s="1059">
        <f t="shared" si="87"/>
        <v>103.51111111109222</v>
      </c>
      <c r="AH277" s="1059">
        <f t="shared" si="87"/>
        <v>111.12222222218445</v>
      </c>
      <c r="AI277" s="1060">
        <f t="shared" si="87"/>
        <v>83.72222222220825</v>
      </c>
      <c r="AJ277" s="1060">
        <f t="shared" si="87"/>
        <v>95.9</v>
      </c>
      <c r="AK277" s="1060">
        <f t="shared" si="87"/>
        <v>103.51111111109222</v>
      </c>
    </row>
    <row r="278" spans="8:8" ht="15.75" customHeight="1">
      <c r="D278" s="1049">
        <f t="shared" si="82"/>
        <v>0.7638888888889428</v>
      </c>
      <c r="E278" s="1050">
        <f t="shared" si="80"/>
        <v>218.47222222223763</v>
      </c>
      <c r="F278" s="1050">
        <f t="shared" si="81"/>
        <v>230.69444444446071</v>
      </c>
      <c r="G278" s="1050">
        <f t="shared" si="81"/>
        <v>238.33333333335014</v>
      </c>
      <c r="H278" s="1051">
        <f t="shared" si="86"/>
        <v>203.1944444444351</v>
      </c>
      <c r="I278" s="1051">
        <f t="shared" si="86"/>
        <v>215.41666666669468</v>
      </c>
      <c r="J278" s="1051">
        <f t="shared" si="86"/>
        <v>223.0555555555649</v>
      </c>
      <c r="K278" s="1052">
        <f t="shared" si="86"/>
        <v>187.91666666669465</v>
      </c>
      <c r="L278" s="1052">
        <f t="shared" si="86"/>
        <v>200.1388888888702</v>
      </c>
      <c r="M278" s="1052">
        <f t="shared" si="86"/>
        <v>207.77777777774944</v>
      </c>
      <c r="N278" s="1053">
        <f t="shared" si="86"/>
        <v>137.5</v>
      </c>
      <c r="O278" s="1053">
        <f t="shared" si="86"/>
        <v>149.72222222225955</v>
      </c>
      <c r="P278" s="1053">
        <f t="shared" si="86"/>
        <v>157.3611111111298</v>
      </c>
      <c r="Q278" s="1054">
        <f t="shared" si="86"/>
        <v>129.86111111112976</v>
      </c>
      <c r="R278" s="1054">
        <f t="shared" si="85"/>
        <v>142.08333333330532</v>
      </c>
      <c r="S278" s="1054">
        <f t="shared" si="85"/>
        <v>149.72222222225955</v>
      </c>
      <c r="T278" s="1055">
        <f t="shared" si="85"/>
        <v>122.22222222225956</v>
      </c>
      <c r="U278" s="1055">
        <f t="shared" si="84"/>
        <v>134.4444444444351</v>
      </c>
      <c r="V278" s="1055">
        <f t="shared" si="84"/>
        <v>142.08333333330532</v>
      </c>
      <c r="W278" s="1056">
        <f t="shared" si="84"/>
        <v>114.58333333330533</v>
      </c>
      <c r="X278" s="1056">
        <f t="shared" si="84"/>
        <v>126.8055555555649</v>
      </c>
      <c r="Y278" s="1056">
        <f t="shared" si="84"/>
        <v>134.4444444444351</v>
      </c>
      <c r="Z278" s="1057">
        <f t="shared" si="84"/>
        <v>106.94444444443512</v>
      </c>
      <c r="AA278" s="1057">
        <f t="shared" si="84"/>
        <v>119.16666666669467</v>
      </c>
      <c r="AB278" s="1057">
        <f t="shared" si="84"/>
        <v>126.8055555555649</v>
      </c>
      <c r="AC278" s="1058">
        <f t="shared" si="87"/>
        <v>99.30555555556478</v>
      </c>
      <c r="AD278" s="1058">
        <f t="shared" si="87"/>
        <v>111.52777777774045</v>
      </c>
      <c r="AE278" s="1058">
        <f t="shared" si="87"/>
        <v>119.16666666669467</v>
      </c>
      <c r="AF278" s="1059">
        <f t="shared" si="87"/>
        <v>91.66666666668748</v>
      </c>
      <c r="AG278" s="1059">
        <f t="shared" si="87"/>
        <v>103.88888888887023</v>
      </c>
      <c r="AH278" s="1059">
        <f t="shared" si="87"/>
        <v>111.52777777774045</v>
      </c>
      <c r="AI278" s="1060">
        <f t="shared" si="87"/>
        <v>84.02777777776384</v>
      </c>
      <c r="AJ278" s="1060">
        <f t="shared" si="87"/>
        <v>96.25</v>
      </c>
      <c r="AK278" s="1060">
        <f t="shared" si="87"/>
        <v>103.88888888887023</v>
      </c>
    </row>
    <row r="279" spans="8:8" ht="15.75" customHeight="1">
      <c r="D279" s="1049">
        <f t="shared" si="82"/>
        <v>0.7666666666667208</v>
      </c>
      <c r="E279" s="1050">
        <f t="shared" si="80"/>
        <v>219.26666666668214</v>
      </c>
      <c r="F279" s="1050">
        <f t="shared" si="81"/>
        <v>231.53333333334967</v>
      </c>
      <c r="G279" s="1050">
        <f t="shared" si="81"/>
        <v>239.20000000001687</v>
      </c>
      <c r="H279" s="1051">
        <f t="shared" si="86"/>
        <v>203.93333333332413</v>
      </c>
      <c r="I279" s="1051">
        <f t="shared" si="86"/>
        <v>216.20000000002767</v>
      </c>
      <c r="J279" s="1051">
        <f t="shared" si="86"/>
        <v>223.8666666666759</v>
      </c>
      <c r="K279" s="1052">
        <f t="shared" si="86"/>
        <v>188.60000000002768</v>
      </c>
      <c r="L279" s="1052">
        <f t="shared" si="86"/>
        <v>200.8666666666482</v>
      </c>
      <c r="M279" s="1052">
        <f t="shared" si="86"/>
        <v>208.53333333330545</v>
      </c>
      <c r="N279" s="1053">
        <f t="shared" si="86"/>
        <v>138.0</v>
      </c>
      <c r="O279" s="1053">
        <f t="shared" si="86"/>
        <v>150.26666666670354</v>
      </c>
      <c r="P279" s="1053">
        <f t="shared" si="86"/>
        <v>157.93333333335178</v>
      </c>
      <c r="Q279" s="1054">
        <f t="shared" si="86"/>
        <v>130.33333333335176</v>
      </c>
      <c r="R279" s="1054">
        <f t="shared" si="85"/>
        <v>142.5999999999723</v>
      </c>
      <c r="S279" s="1054">
        <f t="shared" si="85"/>
        <v>150.26666666670354</v>
      </c>
      <c r="T279" s="1055">
        <f t="shared" si="85"/>
        <v>122.66666666670356</v>
      </c>
      <c r="U279" s="1055">
        <f t="shared" si="84"/>
        <v>134.93333333332413</v>
      </c>
      <c r="V279" s="1055">
        <f t="shared" si="84"/>
        <v>142.5999999999723</v>
      </c>
      <c r="W279" s="1056">
        <f t="shared" si="84"/>
        <v>114.99999999997233</v>
      </c>
      <c r="X279" s="1056">
        <f t="shared" si="84"/>
        <v>127.26666666667589</v>
      </c>
      <c r="Y279" s="1056">
        <f t="shared" si="84"/>
        <v>134.93333333332413</v>
      </c>
      <c r="Z279" s="1057">
        <f t="shared" si="84"/>
        <v>107.33333333332412</v>
      </c>
      <c r="AA279" s="1057">
        <f t="shared" si="84"/>
        <v>119.60000000002766</v>
      </c>
      <c r="AB279" s="1057">
        <f t="shared" si="84"/>
        <v>127.26666666667589</v>
      </c>
      <c r="AC279" s="1058">
        <f t="shared" si="87"/>
        <v>99.66666666667588</v>
      </c>
      <c r="AD279" s="1058">
        <f t="shared" si="87"/>
        <v>111.93333333329645</v>
      </c>
      <c r="AE279" s="1058">
        <f t="shared" si="87"/>
        <v>119.60000000002766</v>
      </c>
      <c r="AF279" s="1059">
        <f t="shared" si="87"/>
        <v>92.00000000002078</v>
      </c>
      <c r="AG279" s="1059">
        <f t="shared" si="87"/>
        <v>104.26666666664822</v>
      </c>
      <c r="AH279" s="1059">
        <f t="shared" si="87"/>
        <v>111.93333333329645</v>
      </c>
      <c r="AI279" s="1060">
        <f t="shared" si="87"/>
        <v>84.33333333331935</v>
      </c>
      <c r="AJ279" s="1060">
        <f t="shared" si="87"/>
        <v>96.60000000000001</v>
      </c>
      <c r="AK279" s="1060">
        <f t="shared" si="87"/>
        <v>104.26666666664822</v>
      </c>
    </row>
    <row r="280" spans="8:8" ht="15.75" customHeight="1">
      <c r="D280" s="1049">
        <f t="shared" si="82"/>
        <v>0.7694444444444988</v>
      </c>
      <c r="E280" s="1050">
        <f t="shared" si="80"/>
        <v>220.06111111112665</v>
      </c>
      <c r="F280" s="1050">
        <f t="shared" si="81"/>
        <v>232.37222222223863</v>
      </c>
      <c r="G280" s="1050">
        <f t="shared" si="81"/>
        <v>240.06666666668363</v>
      </c>
      <c r="H280" s="1051">
        <f t="shared" si="86"/>
        <v>204.67222222221312</v>
      </c>
      <c r="I280" s="1051">
        <f t="shared" si="86"/>
        <v>216.98333333336066</v>
      </c>
      <c r="J280" s="1051">
        <f t="shared" si="86"/>
        <v>224.6777777777869</v>
      </c>
      <c r="K280" s="1052">
        <f t="shared" si="86"/>
        <v>189.28333333336067</v>
      </c>
      <c r="L280" s="1052">
        <f t="shared" si="86"/>
        <v>201.59444444442622</v>
      </c>
      <c r="M280" s="1052">
        <f t="shared" si="86"/>
        <v>209.28888888886144</v>
      </c>
      <c r="N280" s="1053">
        <f t="shared" si="86"/>
        <v>138.5</v>
      </c>
      <c r="O280" s="1053">
        <f t="shared" si="86"/>
        <v>150.81111111114754</v>
      </c>
      <c r="P280" s="1053">
        <f t="shared" si="86"/>
        <v>158.50555555557378</v>
      </c>
      <c r="Q280" s="1054">
        <f t="shared" si="86"/>
        <v>130.80555555557376</v>
      </c>
      <c r="R280" s="1054">
        <f t="shared" si="85"/>
        <v>143.11666666663933</v>
      </c>
      <c r="S280" s="1054">
        <f t="shared" si="85"/>
        <v>150.81111111114754</v>
      </c>
      <c r="T280" s="1055">
        <f t="shared" si="85"/>
        <v>123.11111111114755</v>
      </c>
      <c r="U280" s="1055">
        <f t="shared" si="88" ref="U280:AJ303">U281-(U$363/360)</f>
        <v>135.42222222221312</v>
      </c>
      <c r="V280" s="1055">
        <f t="shared" si="88"/>
        <v>143.11666666663933</v>
      </c>
      <c r="W280" s="1056">
        <f t="shared" si="88"/>
        <v>115.41666666663933</v>
      </c>
      <c r="X280" s="1056">
        <f t="shared" si="88"/>
        <v>127.72777777778688</v>
      </c>
      <c r="Y280" s="1056">
        <f t="shared" si="88"/>
        <v>135.42222222221312</v>
      </c>
      <c r="Z280" s="1057">
        <f t="shared" si="88"/>
        <v>107.72222222221312</v>
      </c>
      <c r="AA280" s="1057">
        <f t="shared" si="88"/>
        <v>120.03333333336066</v>
      </c>
      <c r="AB280" s="1057">
        <f t="shared" si="88"/>
        <v>127.72777777778688</v>
      </c>
      <c r="AC280" s="1058">
        <f t="shared" si="87"/>
        <v>100.02777777778688</v>
      </c>
      <c r="AD280" s="1058">
        <f t="shared" si="87"/>
        <v>112.33888888885245</v>
      </c>
      <c r="AE280" s="1058">
        <f t="shared" si="87"/>
        <v>120.03333333336066</v>
      </c>
      <c r="AF280" s="1059">
        <f t="shared" si="87"/>
        <v>92.33333333335408</v>
      </c>
      <c r="AG280" s="1059">
        <f t="shared" si="87"/>
        <v>104.64444444442621</v>
      </c>
      <c r="AH280" s="1059">
        <f t="shared" si="87"/>
        <v>112.33888888885245</v>
      </c>
      <c r="AI280" s="1060">
        <f t="shared" si="87"/>
        <v>84.63888888887494</v>
      </c>
      <c r="AJ280" s="1060">
        <f t="shared" si="87"/>
        <v>96.95</v>
      </c>
      <c r="AK280" s="1060">
        <f t="shared" si="87"/>
        <v>104.64444444442621</v>
      </c>
    </row>
    <row r="281" spans="8:8" ht="15.75" customHeight="1">
      <c r="D281" s="1049">
        <f t="shared" si="82"/>
        <v>0.7722222222222768</v>
      </c>
      <c r="E281" s="1050">
        <f t="shared" si="80"/>
        <v>220.85555555557116</v>
      </c>
      <c r="F281" s="1050">
        <f t="shared" si="81"/>
        <v>233.2111111111276</v>
      </c>
      <c r="G281" s="1050">
        <f t="shared" si="81"/>
        <v>240.93333333335036</v>
      </c>
      <c r="H281" s="1051">
        <f t="shared" si="86"/>
        <v>205.41111111110212</v>
      </c>
      <c r="I281" s="1051">
        <f t="shared" si="86"/>
        <v>217.76666666669368</v>
      </c>
      <c r="J281" s="1051">
        <f t="shared" si="86"/>
        <v>225.4888888888979</v>
      </c>
      <c r="K281" s="1052">
        <f t="shared" si="86"/>
        <v>189.96666666669367</v>
      </c>
      <c r="L281" s="1052">
        <f t="shared" si="86"/>
        <v>202.3222222222042</v>
      </c>
      <c r="M281" s="1052">
        <f t="shared" si="86"/>
        <v>210.04444444441745</v>
      </c>
      <c r="N281" s="1053">
        <f t="shared" si="86"/>
        <v>139.0</v>
      </c>
      <c r="O281" s="1053">
        <f t="shared" si="86"/>
        <v>151.35555555559154</v>
      </c>
      <c r="P281" s="1053">
        <f t="shared" si="86"/>
        <v>159.07777777779577</v>
      </c>
      <c r="Q281" s="1054">
        <f t="shared" si="86"/>
        <v>131.27777777779576</v>
      </c>
      <c r="R281" s="1054">
        <f t="shared" si="85"/>
        <v>143.63333333330633</v>
      </c>
      <c r="S281" s="1054">
        <f t="shared" si="85"/>
        <v>151.35555555559154</v>
      </c>
      <c r="T281" s="1055">
        <f t="shared" si="85"/>
        <v>123.55555555559155</v>
      </c>
      <c r="U281" s="1055">
        <f t="shared" si="88"/>
        <v>135.91111111110212</v>
      </c>
      <c r="V281" s="1055">
        <f t="shared" si="88"/>
        <v>143.63333333330633</v>
      </c>
      <c r="W281" s="1056">
        <f t="shared" si="88"/>
        <v>115.83333333330633</v>
      </c>
      <c r="X281" s="1056">
        <f t="shared" si="88"/>
        <v>128.18888888889788</v>
      </c>
      <c r="Y281" s="1056">
        <f t="shared" si="88"/>
        <v>135.91111111110212</v>
      </c>
      <c r="Z281" s="1057">
        <f t="shared" si="88"/>
        <v>108.11111111110212</v>
      </c>
      <c r="AA281" s="1057">
        <f t="shared" si="88"/>
        <v>120.46666666669367</v>
      </c>
      <c r="AB281" s="1057">
        <f t="shared" si="88"/>
        <v>128.18888888889788</v>
      </c>
      <c r="AC281" s="1058">
        <f t="shared" si="87"/>
        <v>100.38888888889788</v>
      </c>
      <c r="AD281" s="1058">
        <f t="shared" si="87"/>
        <v>112.74444444440844</v>
      </c>
      <c r="AE281" s="1058">
        <f t="shared" si="87"/>
        <v>120.46666666669367</v>
      </c>
      <c r="AF281" s="1059">
        <f t="shared" si="87"/>
        <v>92.66666666668738</v>
      </c>
      <c r="AG281" s="1059">
        <f t="shared" si="87"/>
        <v>105.02222222220422</v>
      </c>
      <c r="AH281" s="1059">
        <f t="shared" si="87"/>
        <v>112.74444444440844</v>
      </c>
      <c r="AI281" s="1060">
        <f t="shared" si="87"/>
        <v>84.94444444443045</v>
      </c>
      <c r="AJ281" s="1060">
        <f t="shared" si="87"/>
        <v>97.30000000000001</v>
      </c>
      <c r="AK281" s="1060">
        <f t="shared" si="87"/>
        <v>105.02222222220422</v>
      </c>
    </row>
    <row r="282" spans="8:8" ht="15.75" customHeight="1">
      <c r="D282" s="1049">
        <f t="shared" si="82"/>
        <v>0.7750000000000548</v>
      </c>
      <c r="E282" s="1050">
        <f t="shared" si="80"/>
        <v>221.65000000001567</v>
      </c>
      <c r="F282" s="1050">
        <f t="shared" si="81"/>
        <v>234.05000000001652</v>
      </c>
      <c r="G282" s="1050">
        <f t="shared" si="81"/>
        <v>241.8000000000171</v>
      </c>
      <c r="H282" s="1051">
        <f t="shared" si="86"/>
        <v>206.1499999999911</v>
      </c>
      <c r="I282" s="1051">
        <f t="shared" si="86"/>
        <v>218.55000000002667</v>
      </c>
      <c r="J282" s="1051">
        <f t="shared" si="86"/>
        <v>226.3000000000089</v>
      </c>
      <c r="K282" s="1052">
        <f t="shared" si="86"/>
        <v>190.65000000002667</v>
      </c>
      <c r="L282" s="1052">
        <f t="shared" si="86"/>
        <v>203.04999999998222</v>
      </c>
      <c r="M282" s="1052">
        <f t="shared" si="86"/>
        <v>210.79999999997344</v>
      </c>
      <c r="N282" s="1053">
        <f t="shared" si="86"/>
        <v>139.5</v>
      </c>
      <c r="O282" s="1053">
        <f t="shared" si="86"/>
        <v>151.90000000003556</v>
      </c>
      <c r="P282" s="1053">
        <f t="shared" si="86"/>
        <v>159.65000000001777</v>
      </c>
      <c r="Q282" s="1054">
        <f t="shared" si="86"/>
        <v>131.75000000001776</v>
      </c>
      <c r="R282" s="1054">
        <f t="shared" si="85"/>
        <v>144.14999999997332</v>
      </c>
      <c r="S282" s="1054">
        <f t="shared" si="85"/>
        <v>151.90000000003556</v>
      </c>
      <c r="T282" s="1055">
        <f t="shared" si="85"/>
        <v>124.00000000003556</v>
      </c>
      <c r="U282" s="1055">
        <f t="shared" si="88"/>
        <v>136.3999999999911</v>
      </c>
      <c r="V282" s="1055">
        <f t="shared" si="88"/>
        <v>144.14999999997332</v>
      </c>
      <c r="W282" s="1056">
        <f t="shared" si="88"/>
        <v>116.24999999997333</v>
      </c>
      <c r="X282" s="1056">
        <f t="shared" si="88"/>
        <v>128.6500000000089</v>
      </c>
      <c r="Y282" s="1056">
        <f t="shared" si="88"/>
        <v>136.3999999999911</v>
      </c>
      <c r="Z282" s="1057">
        <f t="shared" si="88"/>
        <v>108.49999999999112</v>
      </c>
      <c r="AA282" s="1057">
        <f t="shared" si="88"/>
        <v>120.90000000002667</v>
      </c>
      <c r="AB282" s="1057">
        <f t="shared" si="88"/>
        <v>128.6500000000089</v>
      </c>
      <c r="AC282" s="1058">
        <f t="shared" si="87"/>
        <v>100.75000000000888</v>
      </c>
      <c r="AD282" s="1058">
        <f t="shared" si="87"/>
        <v>113.14999999996445</v>
      </c>
      <c r="AE282" s="1058">
        <f t="shared" si="87"/>
        <v>120.90000000002667</v>
      </c>
      <c r="AF282" s="1059">
        <f t="shared" si="87"/>
        <v>93.00000000002068</v>
      </c>
      <c r="AG282" s="1059">
        <f t="shared" si="87"/>
        <v>105.39999999998221</v>
      </c>
      <c r="AH282" s="1059">
        <f t="shared" si="87"/>
        <v>113.14999999996445</v>
      </c>
      <c r="AI282" s="1060">
        <f t="shared" si="87"/>
        <v>85.24999999998604</v>
      </c>
      <c r="AJ282" s="1060">
        <f t="shared" si="87"/>
        <v>97.65</v>
      </c>
      <c r="AK282" s="1060">
        <f t="shared" si="87"/>
        <v>105.39999999998221</v>
      </c>
    </row>
    <row r="283" spans="8:8" ht="15.75" customHeight="1">
      <c r="D283" s="1049">
        <f t="shared" si="82"/>
        <v>0.7777777777778327</v>
      </c>
      <c r="E283" s="1050">
        <f t="shared" si="80"/>
        <v>222.44444444446017</v>
      </c>
      <c r="F283" s="1050">
        <f t="shared" si="81"/>
        <v>234.88888888890548</v>
      </c>
      <c r="G283" s="1050">
        <f t="shared" si="81"/>
        <v>242.66666666668382</v>
      </c>
      <c r="H283" s="1051">
        <f t="shared" si="86"/>
        <v>206.88888888888013</v>
      </c>
      <c r="I283" s="1051">
        <f t="shared" si="86"/>
        <v>219.33333333335966</v>
      </c>
      <c r="J283" s="1051">
        <f t="shared" si="86"/>
        <v>227.1111111111199</v>
      </c>
      <c r="K283" s="1052">
        <f t="shared" si="86"/>
        <v>191.33333333335966</v>
      </c>
      <c r="L283" s="1052">
        <f t="shared" si="86"/>
        <v>203.7777777777602</v>
      </c>
      <c r="M283" s="1052">
        <f t="shared" si="86"/>
        <v>211.55555555552945</v>
      </c>
      <c r="N283" s="1053">
        <f t="shared" si="86"/>
        <v>140.0</v>
      </c>
      <c r="O283" s="1053">
        <f t="shared" si="86"/>
        <v>152.44444444447956</v>
      </c>
      <c r="P283" s="1053">
        <f t="shared" si="86"/>
        <v>160.22222222223976</v>
      </c>
      <c r="Q283" s="1054">
        <f t="shared" si="86"/>
        <v>132.22222222223976</v>
      </c>
      <c r="R283" s="1054">
        <f t="shared" si="85"/>
        <v>144.6666666666403</v>
      </c>
      <c r="S283" s="1054">
        <f t="shared" si="85"/>
        <v>152.44444444447956</v>
      </c>
      <c r="T283" s="1055">
        <f t="shared" si="89" ref="T283:T305">T284-(T$363/360)</f>
        <v>124.44444444447956</v>
      </c>
      <c r="U283" s="1055">
        <f t="shared" si="88"/>
        <v>136.88888888888013</v>
      </c>
      <c r="V283" s="1055">
        <f t="shared" si="88"/>
        <v>144.6666666666403</v>
      </c>
      <c r="W283" s="1056">
        <f t="shared" si="88"/>
        <v>116.66666666664032</v>
      </c>
      <c r="X283" s="1056">
        <f t="shared" si="88"/>
        <v>129.1111111111199</v>
      </c>
      <c r="Y283" s="1056">
        <f t="shared" si="88"/>
        <v>136.88888888888013</v>
      </c>
      <c r="Z283" s="1057">
        <f t="shared" si="88"/>
        <v>108.88888888888012</v>
      </c>
      <c r="AA283" s="1057">
        <f t="shared" si="88"/>
        <v>121.33333333335966</v>
      </c>
      <c r="AB283" s="1057">
        <f t="shared" si="88"/>
        <v>129.1111111111199</v>
      </c>
      <c r="AC283" s="1058">
        <f t="shared" si="87"/>
        <v>101.11111111111988</v>
      </c>
      <c r="AD283" s="1058">
        <f t="shared" si="87"/>
        <v>113.55555555552044</v>
      </c>
      <c r="AE283" s="1058">
        <f t="shared" si="87"/>
        <v>121.33333333335966</v>
      </c>
      <c r="AF283" s="1059">
        <f t="shared" si="87"/>
        <v>93.33333333335398</v>
      </c>
      <c r="AG283" s="1059">
        <f t="shared" si="87"/>
        <v>105.77777777776022</v>
      </c>
      <c r="AH283" s="1059">
        <f t="shared" si="87"/>
        <v>113.55555555552044</v>
      </c>
      <c r="AI283" s="1060">
        <f t="shared" si="87"/>
        <v>85.55555555554155</v>
      </c>
      <c r="AJ283" s="1060">
        <f t="shared" si="87"/>
        <v>98.0</v>
      </c>
      <c r="AK283" s="1060">
        <f t="shared" si="87"/>
        <v>105.77777777776022</v>
      </c>
    </row>
    <row r="284" spans="8:8" ht="15.75" customHeight="1">
      <c r="D284" s="1049">
        <f t="shared" si="82"/>
        <v>0.7805555555556107</v>
      </c>
      <c r="E284" s="1050">
        <f t="shared" si="80"/>
        <v>223.23888888890468</v>
      </c>
      <c r="F284" s="1050">
        <f t="shared" si="81"/>
        <v>235.72777777779444</v>
      </c>
      <c r="G284" s="1050">
        <f t="shared" si="81"/>
        <v>243.53333333335055</v>
      </c>
      <c r="H284" s="1051">
        <f t="shared" si="86"/>
        <v>207.62777777776913</v>
      </c>
      <c r="I284" s="1051">
        <f t="shared" si="86"/>
        <v>220.11666666669268</v>
      </c>
      <c r="J284" s="1051">
        <f t="shared" si="86"/>
        <v>227.9222222222309</v>
      </c>
      <c r="K284" s="1052">
        <f t="shared" si="86"/>
        <v>192.01666666669266</v>
      </c>
      <c r="L284" s="1052">
        <f t="shared" si="86"/>
        <v>204.50555555553822</v>
      </c>
      <c r="M284" s="1052">
        <f t="shared" si="86"/>
        <v>212.31111111108544</v>
      </c>
      <c r="N284" s="1053">
        <f t="shared" si="86"/>
        <v>140.5</v>
      </c>
      <c r="O284" s="1053">
        <f t="shared" si="86"/>
        <v>152.98888888892355</v>
      </c>
      <c r="P284" s="1053">
        <f t="shared" si="86"/>
        <v>160.7944444444618</v>
      </c>
      <c r="Q284" s="1054">
        <f t="shared" si="86"/>
        <v>132.69444444446177</v>
      </c>
      <c r="R284" s="1054">
        <f t="shared" si="90" ref="R284:S300">R285-(R$363/360)</f>
        <v>145.18333333330733</v>
      </c>
      <c r="S284" s="1054">
        <f t="shared" si="90"/>
        <v>152.98888888892355</v>
      </c>
      <c r="T284" s="1055">
        <f t="shared" si="89"/>
        <v>124.88888888892356</v>
      </c>
      <c r="U284" s="1055">
        <f t="shared" si="88"/>
        <v>137.37777777776913</v>
      </c>
      <c r="V284" s="1055">
        <f t="shared" si="88"/>
        <v>145.18333333330733</v>
      </c>
      <c r="W284" s="1056">
        <f t="shared" si="88"/>
        <v>117.08333333330732</v>
      </c>
      <c r="X284" s="1056">
        <f t="shared" si="88"/>
        <v>129.5722222222309</v>
      </c>
      <c r="Y284" s="1056">
        <f t="shared" si="88"/>
        <v>137.37777777776913</v>
      </c>
      <c r="Z284" s="1057">
        <f t="shared" si="88"/>
        <v>109.27777777776912</v>
      </c>
      <c r="AA284" s="1057">
        <f t="shared" si="88"/>
        <v>121.76666666669266</v>
      </c>
      <c r="AB284" s="1057">
        <f t="shared" si="88"/>
        <v>129.5722222222309</v>
      </c>
      <c r="AC284" s="1058">
        <f t="shared" si="87"/>
        <v>101.47222222223088</v>
      </c>
      <c r="AD284" s="1058">
        <f t="shared" si="87"/>
        <v>113.96111111107645</v>
      </c>
      <c r="AE284" s="1058">
        <f t="shared" si="87"/>
        <v>121.76666666669266</v>
      </c>
      <c r="AF284" s="1059">
        <f t="shared" si="87"/>
        <v>93.66666666668728</v>
      </c>
      <c r="AG284" s="1059">
        <f t="shared" si="87"/>
        <v>106.15555555553821</v>
      </c>
      <c r="AH284" s="1059">
        <f t="shared" si="87"/>
        <v>113.96111111107645</v>
      </c>
      <c r="AI284" s="1060">
        <f t="shared" si="87"/>
        <v>85.86111111109714</v>
      </c>
      <c r="AJ284" s="1060">
        <f t="shared" si="87"/>
        <v>98.35000000000001</v>
      </c>
      <c r="AK284" s="1060">
        <f t="shared" si="87"/>
        <v>106.15555555553821</v>
      </c>
    </row>
    <row r="285" spans="8:8" ht="15.75" customHeight="1">
      <c r="D285" s="1049">
        <f t="shared" si="82"/>
        <v>0.7833333333333887</v>
      </c>
      <c r="E285" s="1050">
        <f t="shared" si="80"/>
        <v>224.03333333334916</v>
      </c>
      <c r="F285" s="1050">
        <f t="shared" si="81"/>
        <v>236.5666666666834</v>
      </c>
      <c r="G285" s="1050">
        <f t="shared" si="81"/>
        <v>244.4000000000173</v>
      </c>
      <c r="H285" s="1051">
        <f t="shared" si="86"/>
        <v>208.36666666665812</v>
      </c>
      <c r="I285" s="1051">
        <f t="shared" si="86"/>
        <v>220.90000000002567</v>
      </c>
      <c r="J285" s="1051">
        <f t="shared" si="86"/>
        <v>228.7333333333419</v>
      </c>
      <c r="K285" s="1052">
        <f t="shared" si="86"/>
        <v>192.70000000002565</v>
      </c>
      <c r="L285" s="1052">
        <f t="shared" si="86"/>
        <v>205.2333333333162</v>
      </c>
      <c r="M285" s="1052">
        <f t="shared" si="86"/>
        <v>213.06666666664145</v>
      </c>
      <c r="N285" s="1053">
        <f t="shared" si="86"/>
        <v>141.0</v>
      </c>
      <c r="O285" s="1053">
        <f t="shared" si="86"/>
        <v>153.53333333336755</v>
      </c>
      <c r="P285" s="1053">
        <f t="shared" si="86"/>
        <v>161.36666666668378</v>
      </c>
      <c r="Q285" s="1054">
        <f t="shared" si="86"/>
        <v>133.16666666668377</v>
      </c>
      <c r="R285" s="1054">
        <f t="shared" si="90"/>
        <v>145.69999999997432</v>
      </c>
      <c r="S285" s="1054">
        <f t="shared" si="90"/>
        <v>153.53333333336755</v>
      </c>
      <c r="T285" s="1055">
        <f t="shared" si="89"/>
        <v>125.33333333336756</v>
      </c>
      <c r="U285" s="1055">
        <f t="shared" si="88"/>
        <v>137.86666666665812</v>
      </c>
      <c r="V285" s="1055">
        <f t="shared" si="88"/>
        <v>145.69999999997432</v>
      </c>
      <c r="W285" s="1056">
        <f t="shared" si="88"/>
        <v>117.49999999997434</v>
      </c>
      <c r="X285" s="1056">
        <f t="shared" si="88"/>
        <v>130.0333333333419</v>
      </c>
      <c r="Y285" s="1056">
        <f t="shared" si="88"/>
        <v>137.86666666665812</v>
      </c>
      <c r="Z285" s="1057">
        <f t="shared" si="88"/>
        <v>109.66666666665812</v>
      </c>
      <c r="AA285" s="1057">
        <f t="shared" si="88"/>
        <v>122.20000000002567</v>
      </c>
      <c r="AB285" s="1057">
        <f t="shared" si="88"/>
        <v>130.0333333333419</v>
      </c>
      <c r="AC285" s="1058">
        <f t="shared" si="87"/>
        <v>101.83333333334188</v>
      </c>
      <c r="AD285" s="1058">
        <f t="shared" si="87"/>
        <v>114.36666666663245</v>
      </c>
      <c r="AE285" s="1058">
        <f t="shared" si="87"/>
        <v>122.20000000002567</v>
      </c>
      <c r="AF285" s="1059">
        <f t="shared" si="87"/>
        <v>94.00000000002058</v>
      </c>
      <c r="AG285" s="1059">
        <f t="shared" si="87"/>
        <v>106.53333333331622</v>
      </c>
      <c r="AH285" s="1059">
        <f t="shared" si="87"/>
        <v>114.36666666663245</v>
      </c>
      <c r="AI285" s="1060">
        <f t="shared" si="87"/>
        <v>86.16666666665274</v>
      </c>
      <c r="AJ285" s="1060">
        <f t="shared" si="87"/>
        <v>98.7</v>
      </c>
      <c r="AK285" s="1060">
        <f t="shared" si="87"/>
        <v>106.53333333331622</v>
      </c>
    </row>
    <row r="286" spans="8:8" ht="15.75" customHeight="1">
      <c r="D286" s="1049">
        <f t="shared" si="82"/>
        <v>0.7861111111111667</v>
      </c>
      <c r="E286" s="1050">
        <f t="shared" si="80"/>
        <v>224.82777777779367</v>
      </c>
      <c r="F286" s="1050">
        <f t="shared" si="81"/>
        <v>237.40555555557233</v>
      </c>
      <c r="G286" s="1050">
        <f t="shared" si="81"/>
        <v>245.26666666668402</v>
      </c>
      <c r="H286" s="1051">
        <f t="shared" si="86"/>
        <v>209.1055555555471</v>
      </c>
      <c r="I286" s="1051">
        <f t="shared" si="86"/>
        <v>221.68333333335866</v>
      </c>
      <c r="J286" s="1051">
        <f t="shared" si="86"/>
        <v>229.5444444444529</v>
      </c>
      <c r="K286" s="1052">
        <f t="shared" si="86"/>
        <v>193.38333333335865</v>
      </c>
      <c r="L286" s="1052">
        <f t="shared" si="86"/>
        <v>205.9611111110942</v>
      </c>
      <c r="M286" s="1052">
        <f t="shared" si="86"/>
        <v>213.82222222219744</v>
      </c>
      <c r="N286" s="1053">
        <f t="shared" si="86"/>
        <v>141.5</v>
      </c>
      <c r="O286" s="1053">
        <f t="shared" si="86"/>
        <v>154.07777777781155</v>
      </c>
      <c r="P286" s="1053">
        <f t="shared" si="86"/>
        <v>161.93888888890578</v>
      </c>
      <c r="Q286" s="1054">
        <f t="shared" si="86"/>
        <v>133.63888888890577</v>
      </c>
      <c r="R286" s="1054">
        <f t="shared" si="90"/>
        <v>146.21666666664132</v>
      </c>
      <c r="S286" s="1054">
        <f t="shared" si="90"/>
        <v>154.07777777781155</v>
      </c>
      <c r="T286" s="1055">
        <f t="shared" si="89"/>
        <v>125.77777777781155</v>
      </c>
      <c r="U286" s="1055">
        <f t="shared" si="88"/>
        <v>138.3555555555471</v>
      </c>
      <c r="V286" s="1055">
        <f t="shared" si="88"/>
        <v>146.21666666664132</v>
      </c>
      <c r="W286" s="1056">
        <f t="shared" si="88"/>
        <v>117.91666666664133</v>
      </c>
      <c r="X286" s="1056">
        <f t="shared" si="88"/>
        <v>130.49444444445288</v>
      </c>
      <c r="Y286" s="1056">
        <f t="shared" si="88"/>
        <v>138.3555555555471</v>
      </c>
      <c r="Z286" s="1057">
        <f t="shared" si="88"/>
        <v>110.05555555554712</v>
      </c>
      <c r="AA286" s="1057">
        <f t="shared" si="88"/>
        <v>122.63333333335866</v>
      </c>
      <c r="AB286" s="1057">
        <f t="shared" si="88"/>
        <v>130.49444444445288</v>
      </c>
      <c r="AC286" s="1058">
        <f t="shared" si="87"/>
        <v>102.19444444445288</v>
      </c>
      <c r="AD286" s="1058">
        <f t="shared" si="87"/>
        <v>114.77222222218845</v>
      </c>
      <c r="AE286" s="1058">
        <f t="shared" si="87"/>
        <v>122.63333333335866</v>
      </c>
      <c r="AF286" s="1059">
        <f t="shared" si="87"/>
        <v>94.33333333335388</v>
      </c>
      <c r="AG286" s="1059">
        <f t="shared" si="87"/>
        <v>106.91111111109421</v>
      </c>
      <c r="AH286" s="1059">
        <f t="shared" si="87"/>
        <v>114.77222222218845</v>
      </c>
      <c r="AI286" s="1060">
        <f t="shared" si="87"/>
        <v>86.47222222220825</v>
      </c>
      <c r="AJ286" s="1060">
        <f t="shared" si="87"/>
        <v>99.05000000000001</v>
      </c>
      <c r="AK286" s="1060">
        <f t="shared" si="87"/>
        <v>106.91111111109421</v>
      </c>
    </row>
    <row r="287" spans="8:8" ht="15.75" customHeight="1">
      <c r="D287" s="1049">
        <f t="shared" si="82"/>
        <v>0.7888888888889448</v>
      </c>
      <c r="E287" s="1050">
        <f t="shared" si="80"/>
        <v>225.6222222222382</v>
      </c>
      <c r="F287" s="1050">
        <f t="shared" si="81"/>
        <v>238.24444444446132</v>
      </c>
      <c r="G287" s="1050">
        <f t="shared" si="81"/>
        <v>246.13333333335078</v>
      </c>
      <c r="H287" s="1051">
        <f t="shared" si="86"/>
        <v>209.8444444444361</v>
      </c>
      <c r="I287" s="1051">
        <f t="shared" si="86"/>
        <v>222.46666666669168</v>
      </c>
      <c r="J287" s="1051">
        <f t="shared" si="86"/>
        <v>230.3555555555639</v>
      </c>
      <c r="K287" s="1052">
        <f t="shared" si="86"/>
        <v>194.06666666669167</v>
      </c>
      <c r="L287" s="1052">
        <f t="shared" si="86"/>
        <v>206.6888888888722</v>
      </c>
      <c r="M287" s="1052">
        <f t="shared" si="86"/>
        <v>214.57777777775345</v>
      </c>
      <c r="N287" s="1053">
        <f t="shared" si="86"/>
        <v>142.0</v>
      </c>
      <c r="O287" s="1053">
        <f t="shared" si="86"/>
        <v>154.62222222225554</v>
      </c>
      <c r="P287" s="1053">
        <f t="shared" si="86"/>
        <v>162.51111111112778</v>
      </c>
      <c r="Q287" s="1054">
        <f t="shared" si="86"/>
        <v>134.11111111112777</v>
      </c>
      <c r="R287" s="1054">
        <f t="shared" si="90"/>
        <v>146.7333333333083</v>
      </c>
      <c r="S287" s="1054">
        <f t="shared" si="90"/>
        <v>154.62222222225554</v>
      </c>
      <c r="T287" s="1055">
        <f t="shared" si="89"/>
        <v>126.22222222225555</v>
      </c>
      <c r="U287" s="1055">
        <f t="shared" si="88"/>
        <v>138.8444444444361</v>
      </c>
      <c r="V287" s="1055">
        <f t="shared" si="88"/>
        <v>146.7333333333083</v>
      </c>
      <c r="W287" s="1056">
        <f t="shared" si="88"/>
        <v>118.33333333330833</v>
      </c>
      <c r="X287" s="1056">
        <f t="shared" si="88"/>
        <v>130.9555555555639</v>
      </c>
      <c r="Y287" s="1056">
        <f t="shared" si="88"/>
        <v>138.8444444444361</v>
      </c>
      <c r="Z287" s="1057">
        <f t="shared" si="88"/>
        <v>110.44444444443612</v>
      </c>
      <c r="AA287" s="1057">
        <f t="shared" si="88"/>
        <v>123.06666666669166</v>
      </c>
      <c r="AB287" s="1057">
        <f t="shared" si="88"/>
        <v>130.9555555555639</v>
      </c>
      <c r="AC287" s="1058">
        <f t="shared" si="87"/>
        <v>102.55555555556388</v>
      </c>
      <c r="AD287" s="1058">
        <f t="shared" si="87"/>
        <v>115.17777777774445</v>
      </c>
      <c r="AE287" s="1058">
        <f t="shared" si="87"/>
        <v>123.06666666669166</v>
      </c>
      <c r="AF287" s="1059">
        <f t="shared" si="87"/>
        <v>94.66666666668718</v>
      </c>
      <c r="AG287" s="1059">
        <f t="shared" si="87"/>
        <v>107.28888888887222</v>
      </c>
      <c r="AH287" s="1059">
        <f t="shared" si="87"/>
        <v>115.17777777774445</v>
      </c>
      <c r="AI287" s="1060">
        <f t="shared" si="87"/>
        <v>86.77777777776384</v>
      </c>
      <c r="AJ287" s="1060">
        <f t="shared" si="87"/>
        <v>99.4</v>
      </c>
      <c r="AK287" s="1060">
        <f t="shared" si="87"/>
        <v>107.28888888887222</v>
      </c>
    </row>
    <row r="288" spans="8:8" ht="15.75" customHeight="1">
      <c r="D288" s="1049">
        <f t="shared" si="82"/>
        <v>0.7916666666667228</v>
      </c>
      <c r="E288" s="1050">
        <f t="shared" si="80"/>
        <v>226.41666666668272</v>
      </c>
      <c r="F288" s="1050">
        <f t="shared" si="81"/>
        <v>239.08333333335028</v>
      </c>
      <c r="G288" s="1050">
        <f t="shared" si="81"/>
        <v>247.0000000000175</v>
      </c>
      <c r="H288" s="1051">
        <f t="shared" si="86"/>
        <v>210.58333333332513</v>
      </c>
      <c r="I288" s="1051">
        <f t="shared" si="86"/>
        <v>223.25000000002467</v>
      </c>
      <c r="J288" s="1051">
        <f t="shared" si="86"/>
        <v>231.1666666666749</v>
      </c>
      <c r="K288" s="1052">
        <f t="shared" si="86"/>
        <v>194.75000000002467</v>
      </c>
      <c r="L288" s="1052">
        <f t="shared" si="86"/>
        <v>207.4166666666502</v>
      </c>
      <c r="M288" s="1052">
        <f t="shared" si="86"/>
        <v>215.33333333330944</v>
      </c>
      <c r="N288" s="1053">
        <f t="shared" si="86"/>
        <v>142.5</v>
      </c>
      <c r="O288" s="1053">
        <f t="shared" si="86"/>
        <v>155.16666666669954</v>
      </c>
      <c r="P288" s="1053">
        <f t="shared" si="86"/>
        <v>163.08333333334977</v>
      </c>
      <c r="Q288" s="1054">
        <f t="shared" si="86"/>
        <v>134.58333333334977</v>
      </c>
      <c r="R288" s="1054">
        <f t="shared" si="90"/>
        <v>147.24999999997533</v>
      </c>
      <c r="S288" s="1054">
        <f t="shared" si="90"/>
        <v>155.16666666669954</v>
      </c>
      <c r="T288" s="1055">
        <f t="shared" si="89"/>
        <v>126.66666666669956</v>
      </c>
      <c r="U288" s="1055">
        <f t="shared" si="88"/>
        <v>139.33333333332513</v>
      </c>
      <c r="V288" s="1055">
        <f t="shared" si="88"/>
        <v>147.24999999997533</v>
      </c>
      <c r="W288" s="1056">
        <f t="shared" si="88"/>
        <v>118.74999999997533</v>
      </c>
      <c r="X288" s="1056">
        <f t="shared" si="88"/>
        <v>131.4166666666749</v>
      </c>
      <c r="Y288" s="1056">
        <f t="shared" si="88"/>
        <v>139.33333333332513</v>
      </c>
      <c r="Z288" s="1057">
        <f t="shared" si="88"/>
        <v>110.83333333332511</v>
      </c>
      <c r="AA288" s="1057">
        <f t="shared" si="88"/>
        <v>123.50000000002466</v>
      </c>
      <c r="AB288" s="1057">
        <f t="shared" si="88"/>
        <v>131.4166666666749</v>
      </c>
      <c r="AC288" s="1058">
        <f t="shared" si="87"/>
        <v>102.91666666667489</v>
      </c>
      <c r="AD288" s="1058">
        <f t="shared" si="87"/>
        <v>115.58333333330044</v>
      </c>
      <c r="AE288" s="1058">
        <f t="shared" si="87"/>
        <v>123.50000000002466</v>
      </c>
      <c r="AF288" s="1059">
        <f t="shared" si="87"/>
        <v>95.00000000002048</v>
      </c>
      <c r="AG288" s="1059">
        <f t="shared" si="87"/>
        <v>107.66666666665022</v>
      </c>
      <c r="AH288" s="1059">
        <f t="shared" si="87"/>
        <v>115.58333333330044</v>
      </c>
      <c r="AI288" s="1060">
        <f t="shared" si="87"/>
        <v>87.08333333331935</v>
      </c>
      <c r="AJ288" s="1060">
        <f t="shared" si="87"/>
        <v>99.75</v>
      </c>
      <c r="AK288" s="1060">
        <f t="shared" si="87"/>
        <v>107.66666666665022</v>
      </c>
    </row>
    <row r="289" spans="8:8" ht="15.75" customHeight="1">
      <c r="D289" s="1049">
        <f t="shared" si="82"/>
        <v>0.7944444444445008</v>
      </c>
      <c r="E289" s="1050">
        <f t="shared" si="80"/>
        <v>227.21111111112722</v>
      </c>
      <c r="F289" s="1050">
        <f t="shared" si="81"/>
        <v>239.92222222223924</v>
      </c>
      <c r="G289" s="1050">
        <f t="shared" si="81"/>
        <v>247.86666666668424</v>
      </c>
      <c r="H289" s="1051">
        <f t="shared" si="86"/>
        <v>211.32222222221412</v>
      </c>
      <c r="I289" s="1051">
        <f t="shared" si="86"/>
        <v>224.03333333335766</v>
      </c>
      <c r="J289" s="1051">
        <f t="shared" si="86"/>
        <v>231.9777777777859</v>
      </c>
      <c r="K289" s="1052">
        <f t="shared" si="86"/>
        <v>195.43333333335767</v>
      </c>
      <c r="L289" s="1052">
        <f t="shared" si="86"/>
        <v>208.14444444442822</v>
      </c>
      <c r="M289" s="1052">
        <f t="shared" si="86"/>
        <v>216.08888888886543</v>
      </c>
      <c r="N289" s="1053">
        <f t="shared" si="86"/>
        <v>143.0</v>
      </c>
      <c r="O289" s="1053">
        <f t="shared" si="86"/>
        <v>155.71111111114354</v>
      </c>
      <c r="P289" s="1053">
        <f t="shared" si="86"/>
        <v>163.65555555557177</v>
      </c>
      <c r="Q289" s="1054">
        <f t="shared" si="86"/>
        <v>135.05555555557177</v>
      </c>
      <c r="R289" s="1054">
        <f t="shared" si="90"/>
        <v>147.76666666664232</v>
      </c>
      <c r="S289" s="1054">
        <f t="shared" si="90"/>
        <v>155.71111111114354</v>
      </c>
      <c r="T289" s="1055">
        <f t="shared" si="89"/>
        <v>127.11111111114356</v>
      </c>
      <c r="U289" s="1055">
        <f t="shared" si="88"/>
        <v>139.82222222221412</v>
      </c>
      <c r="V289" s="1055">
        <f t="shared" si="88"/>
        <v>147.76666666664232</v>
      </c>
      <c r="W289" s="1056">
        <f t="shared" si="88"/>
        <v>119.16666666664233</v>
      </c>
      <c r="X289" s="1056">
        <f t="shared" si="88"/>
        <v>131.8777777777859</v>
      </c>
      <c r="Y289" s="1056">
        <f t="shared" si="88"/>
        <v>139.82222222221412</v>
      </c>
      <c r="Z289" s="1057">
        <f t="shared" si="88"/>
        <v>111.22222222221411</v>
      </c>
      <c r="AA289" s="1057">
        <f t="shared" si="88"/>
        <v>123.93333333335767</v>
      </c>
      <c r="AB289" s="1057">
        <f t="shared" si="88"/>
        <v>131.8777777777859</v>
      </c>
      <c r="AC289" s="1058">
        <f t="shared" si="87"/>
        <v>103.27777777778589</v>
      </c>
      <c r="AD289" s="1058">
        <f t="shared" si="87"/>
        <v>115.98888888885645</v>
      </c>
      <c r="AE289" s="1058">
        <f t="shared" si="87"/>
        <v>123.93333333335767</v>
      </c>
      <c r="AF289" s="1059">
        <f t="shared" si="87"/>
        <v>95.33333333335378</v>
      </c>
      <c r="AG289" s="1059">
        <f t="shared" si="87"/>
        <v>108.04444444442822</v>
      </c>
      <c r="AH289" s="1059">
        <f t="shared" si="87"/>
        <v>115.98888888885645</v>
      </c>
      <c r="AI289" s="1060">
        <f t="shared" si="87"/>
        <v>87.38888888887494</v>
      </c>
      <c r="AJ289" s="1060">
        <f t="shared" si="87"/>
        <v>100.10000000000001</v>
      </c>
      <c r="AK289" s="1060">
        <f t="shared" si="87"/>
        <v>108.04444444442822</v>
      </c>
    </row>
    <row r="290" spans="8:8" ht="15.75" customHeight="1">
      <c r="D290" s="1049">
        <f t="shared" si="82"/>
        <v>0.7972222222222788</v>
      </c>
      <c r="E290" s="1050">
        <f t="shared" si="80"/>
        <v>228.00555555557173</v>
      </c>
      <c r="F290" s="1050">
        <f t="shared" si="81"/>
        <v>240.7611111111282</v>
      </c>
      <c r="G290" s="1050">
        <f t="shared" si="81"/>
        <v>248.73333333335097</v>
      </c>
      <c r="H290" s="1051">
        <f t="shared" si="86"/>
        <v>212.06111111110312</v>
      </c>
      <c r="I290" s="1051">
        <f t="shared" si="86"/>
        <v>224.81666666669068</v>
      </c>
      <c r="J290" s="1051">
        <f t="shared" si="86"/>
        <v>232.7888888888969</v>
      </c>
      <c r="K290" s="1052">
        <f t="shared" si="86"/>
        <v>196.11666666669066</v>
      </c>
      <c r="L290" s="1052">
        <f t="shared" si="86"/>
        <v>208.8722222222062</v>
      </c>
      <c r="M290" s="1052">
        <f t="shared" si="86"/>
        <v>216.84444444442144</v>
      </c>
      <c r="N290" s="1053">
        <f t="shared" si="86"/>
        <v>143.5</v>
      </c>
      <c r="O290" s="1053">
        <f t="shared" si="86"/>
        <v>156.25555555558753</v>
      </c>
      <c r="P290" s="1053">
        <f t="shared" si="86"/>
        <v>164.2277777777938</v>
      </c>
      <c r="Q290" s="1054">
        <f t="shared" si="86"/>
        <v>135.52777777779377</v>
      </c>
      <c r="R290" s="1054">
        <f t="shared" si="90"/>
        <v>148.28333333330932</v>
      </c>
      <c r="S290" s="1054">
        <f t="shared" si="90"/>
        <v>156.25555555558753</v>
      </c>
      <c r="T290" s="1055">
        <f t="shared" si="89"/>
        <v>127.55555555558756</v>
      </c>
      <c r="U290" s="1055">
        <f t="shared" si="88"/>
        <v>140.31111111110312</v>
      </c>
      <c r="V290" s="1055">
        <f t="shared" si="88"/>
        <v>148.28333333330932</v>
      </c>
      <c r="W290" s="1056">
        <f t="shared" si="88"/>
        <v>119.58333333330933</v>
      </c>
      <c r="X290" s="1056">
        <f t="shared" si="88"/>
        <v>132.3388888888969</v>
      </c>
      <c r="Y290" s="1056">
        <f t="shared" si="88"/>
        <v>140.31111111110312</v>
      </c>
      <c r="Z290" s="1057">
        <f t="shared" si="88"/>
        <v>111.61111111110311</v>
      </c>
      <c r="AA290" s="1057">
        <f t="shared" si="88"/>
        <v>124.36666666669066</v>
      </c>
      <c r="AB290" s="1057">
        <f t="shared" si="88"/>
        <v>132.3388888888969</v>
      </c>
      <c r="AC290" s="1058">
        <f t="shared" si="87"/>
        <v>103.63888888889689</v>
      </c>
      <c r="AD290" s="1058">
        <f t="shared" si="87"/>
        <v>116.39444444441244</v>
      </c>
      <c r="AE290" s="1058">
        <f t="shared" si="87"/>
        <v>124.36666666669066</v>
      </c>
      <c r="AF290" s="1059">
        <f t="shared" si="87"/>
        <v>95.66666666668708</v>
      </c>
      <c r="AG290" s="1059">
        <f t="shared" si="87"/>
        <v>108.42222222220622</v>
      </c>
      <c r="AH290" s="1059">
        <f t="shared" si="87"/>
        <v>116.39444444441244</v>
      </c>
      <c r="AI290" s="1060">
        <f t="shared" si="87"/>
        <v>87.69444444443045</v>
      </c>
      <c r="AJ290" s="1060">
        <f t="shared" si="87"/>
        <v>100.45</v>
      </c>
      <c r="AK290" s="1060">
        <f t="shared" si="87"/>
        <v>108.42222222220622</v>
      </c>
    </row>
    <row r="291" spans="8:8" ht="15.75" customHeight="1">
      <c r="D291" s="1049">
        <f t="shared" si="82"/>
        <v>0.8000000000000568</v>
      </c>
      <c r="E291" s="1050">
        <f t="shared" si="80"/>
        <v>228.80000000001624</v>
      </c>
      <c r="F291" s="1050">
        <f t="shared" si="91" ref="F291:G322">F$363*$D291</f>
        <v>241.60000000001713</v>
      </c>
      <c r="G291" s="1050">
        <f t="shared" si="91"/>
        <v>249.6000000000177</v>
      </c>
      <c r="H291" s="1051">
        <f t="shared" si="86"/>
        <v>212.7999999999921</v>
      </c>
      <c r="I291" s="1051">
        <f t="shared" si="86"/>
        <v>225.60000000002367</v>
      </c>
      <c r="J291" s="1051">
        <f t="shared" si="86"/>
        <v>233.6000000000079</v>
      </c>
      <c r="K291" s="1052">
        <f t="shared" si="86"/>
        <v>196.80000000002366</v>
      </c>
      <c r="L291" s="1052">
        <f t="shared" si="86"/>
        <v>209.59999999998422</v>
      </c>
      <c r="M291" s="1052">
        <f t="shared" si="86"/>
        <v>217.59999999997743</v>
      </c>
      <c r="N291" s="1053">
        <f t="shared" si="86"/>
        <v>144.0</v>
      </c>
      <c r="O291" s="1053">
        <f t="shared" si="86"/>
        <v>156.80000000003156</v>
      </c>
      <c r="P291" s="1053">
        <f t="shared" si="86"/>
        <v>164.80000000001579</v>
      </c>
      <c r="Q291" s="1054">
        <f t="shared" si="86"/>
        <v>136.00000000001577</v>
      </c>
      <c r="R291" s="1054">
        <f t="shared" si="90"/>
        <v>148.7999999999763</v>
      </c>
      <c r="S291" s="1054">
        <f t="shared" si="90"/>
        <v>156.80000000003156</v>
      </c>
      <c r="T291" s="1055">
        <f t="shared" si="89"/>
        <v>128.00000000003155</v>
      </c>
      <c r="U291" s="1055">
        <f t="shared" si="88"/>
        <v>140.7999999999921</v>
      </c>
      <c r="V291" s="1055">
        <f t="shared" si="88"/>
        <v>148.7999999999763</v>
      </c>
      <c r="W291" s="1056">
        <f t="shared" si="88"/>
        <v>119.99999999997632</v>
      </c>
      <c r="X291" s="1056">
        <f t="shared" si="88"/>
        <v>132.80000000000788</v>
      </c>
      <c r="Y291" s="1056">
        <f t="shared" si="88"/>
        <v>140.7999999999921</v>
      </c>
      <c r="Z291" s="1057">
        <f t="shared" si="88"/>
        <v>111.99999999999211</v>
      </c>
      <c r="AA291" s="1057">
        <f t="shared" si="88"/>
        <v>124.80000000002366</v>
      </c>
      <c r="AB291" s="1057">
        <f t="shared" si="88"/>
        <v>132.80000000000788</v>
      </c>
      <c r="AC291" s="1058">
        <f t="shared" si="87"/>
        <v>104.00000000000789</v>
      </c>
      <c r="AD291" s="1058">
        <f t="shared" si="87"/>
        <v>116.79999999996845</v>
      </c>
      <c r="AE291" s="1058">
        <f t="shared" si="87"/>
        <v>124.80000000002366</v>
      </c>
      <c r="AF291" s="1059">
        <f t="shared" si="87"/>
        <v>96.00000000002038</v>
      </c>
      <c r="AG291" s="1059">
        <f t="shared" si="87"/>
        <v>108.79999999998422</v>
      </c>
      <c r="AH291" s="1059">
        <f t="shared" si="87"/>
        <v>116.79999999996845</v>
      </c>
      <c r="AI291" s="1060">
        <f t="shared" si="87"/>
        <v>87.99999999998604</v>
      </c>
      <c r="AJ291" s="1060">
        <f t="shared" si="87"/>
        <v>100.80000000000001</v>
      </c>
      <c r="AK291" s="1060">
        <f t="shared" si="87"/>
        <v>108.79999999998422</v>
      </c>
    </row>
    <row r="292" spans="8:8" ht="15.75" customHeight="1">
      <c r="D292" s="1049">
        <f t="shared" si="82"/>
        <v>0.8027777777778348</v>
      </c>
      <c r="E292" s="1050">
        <f t="shared" si="80"/>
        <v>229.59444444446075</v>
      </c>
      <c r="F292" s="1050">
        <f t="shared" si="91"/>
        <v>242.4388888889061</v>
      </c>
      <c r="G292" s="1050">
        <f t="shared" si="91"/>
        <v>250.46666666668446</v>
      </c>
      <c r="H292" s="1051">
        <f t="shared" si="92" ref="H292:Q312">H293-(H$363/360)</f>
        <v>213.53888888888113</v>
      </c>
      <c r="I292" s="1051">
        <f t="shared" si="86"/>
        <v>226.38333333335666</v>
      </c>
      <c r="J292" s="1051">
        <f t="shared" si="86"/>
        <v>234.41111111111888</v>
      </c>
      <c r="K292" s="1052">
        <f t="shared" si="86"/>
        <v>197.48333333335665</v>
      </c>
      <c r="L292" s="1052">
        <f t="shared" si="86"/>
        <v>210.3277777777622</v>
      </c>
      <c r="M292" s="1052">
        <f t="shared" si="86"/>
        <v>218.35555555553344</v>
      </c>
      <c r="N292" s="1053">
        <f t="shared" si="86"/>
        <v>144.5</v>
      </c>
      <c r="O292" s="1053">
        <f t="shared" si="86"/>
        <v>157.34444444447556</v>
      </c>
      <c r="P292" s="1053">
        <f t="shared" si="86"/>
        <v>165.37222222223778</v>
      </c>
      <c r="Q292" s="1054">
        <f t="shared" si="92"/>
        <v>136.47222222223778</v>
      </c>
      <c r="R292" s="1054">
        <f t="shared" si="90"/>
        <v>149.31666666664333</v>
      </c>
      <c r="S292" s="1054">
        <f t="shared" si="90"/>
        <v>157.34444444447556</v>
      </c>
      <c r="T292" s="1055">
        <f t="shared" si="89"/>
        <v>128.44444444447555</v>
      </c>
      <c r="U292" s="1055">
        <f t="shared" si="88"/>
        <v>141.28888888888113</v>
      </c>
      <c r="V292" s="1055">
        <f t="shared" si="88"/>
        <v>149.31666666664333</v>
      </c>
      <c r="W292" s="1056">
        <f t="shared" si="88"/>
        <v>120.41666666664332</v>
      </c>
      <c r="X292" s="1056">
        <f t="shared" si="88"/>
        <v>133.26111111111888</v>
      </c>
      <c r="Y292" s="1056">
        <f t="shared" si="88"/>
        <v>141.28888888888113</v>
      </c>
      <c r="Z292" s="1057">
        <f t="shared" si="88"/>
        <v>112.38888888888111</v>
      </c>
      <c r="AA292" s="1057">
        <f t="shared" si="88"/>
        <v>125.23333333335667</v>
      </c>
      <c r="AB292" s="1057">
        <f t="shared" si="88"/>
        <v>133.26111111111888</v>
      </c>
      <c r="AC292" s="1058">
        <f t="shared" si="87"/>
        <v>104.36111111111889</v>
      </c>
      <c r="AD292" s="1058">
        <f t="shared" si="87"/>
        <v>117.20555555552446</v>
      </c>
      <c r="AE292" s="1058">
        <f t="shared" si="87"/>
        <v>125.23333333335667</v>
      </c>
      <c r="AF292" s="1059">
        <f t="shared" si="87"/>
        <v>96.33333333335366</v>
      </c>
      <c r="AG292" s="1059">
        <f t="shared" si="87"/>
        <v>109.17777777776222</v>
      </c>
      <c r="AH292" s="1059">
        <f t="shared" si="87"/>
        <v>117.20555555552446</v>
      </c>
      <c r="AI292" s="1060">
        <f t="shared" si="87"/>
        <v>88.30555555554155</v>
      </c>
      <c r="AJ292" s="1060">
        <f t="shared" si="87"/>
        <v>101.15</v>
      </c>
      <c r="AK292" s="1060">
        <f t="shared" si="87"/>
        <v>109.17777777776222</v>
      </c>
    </row>
    <row r="293" spans="8:8" ht="15.75" customHeight="1">
      <c r="D293" s="1049">
        <f t="shared" si="82"/>
        <v>0.8055555555556128</v>
      </c>
      <c r="E293" s="1050">
        <f t="shared" si="80"/>
        <v>230.38888888890526</v>
      </c>
      <c r="F293" s="1050">
        <f t="shared" si="91"/>
        <v>243.27777777779505</v>
      </c>
      <c r="G293" s="1050">
        <f t="shared" si="91"/>
        <v>251.3333333333512</v>
      </c>
      <c r="H293" s="1051">
        <f t="shared" si="92"/>
        <v>214.27777777777013</v>
      </c>
      <c r="I293" s="1051">
        <f t="shared" si="92"/>
        <v>227.16666666668968</v>
      </c>
      <c r="J293" s="1051">
        <f t="shared" si="92"/>
        <v>235.2222222222299</v>
      </c>
      <c r="K293" s="1052">
        <f t="shared" si="92"/>
        <v>198.16666666668965</v>
      </c>
      <c r="L293" s="1062">
        <f>L294-(L$363/360)+0.01</f>
        <v>211.05555555554</v>
      </c>
      <c r="M293" s="1052">
        <f t="shared" si="92"/>
        <v>219.11111111108943</v>
      </c>
      <c r="N293" s="1053">
        <f t="shared" si="92"/>
        <v>145.0</v>
      </c>
      <c r="O293" s="1053">
        <f t="shared" si="92"/>
        <v>157.88888888891955</v>
      </c>
      <c r="P293" s="1053">
        <f t="shared" si="92"/>
        <v>165.94444444445978</v>
      </c>
      <c r="Q293" s="1054">
        <f t="shared" si="92"/>
        <v>136.94444444445978</v>
      </c>
      <c r="R293" s="1054">
        <f t="shared" si="90"/>
        <v>149.83333333331032</v>
      </c>
      <c r="S293" s="1054">
        <f t="shared" si="90"/>
        <v>157.88888888891955</v>
      </c>
      <c r="T293" s="1055">
        <f t="shared" si="89"/>
        <v>128.88888888891955</v>
      </c>
      <c r="U293" s="1055">
        <f t="shared" si="88"/>
        <v>141.77777777777013</v>
      </c>
      <c r="V293" s="1055">
        <f t="shared" si="88"/>
        <v>149.83333333331032</v>
      </c>
      <c r="W293" s="1056">
        <f t="shared" si="88"/>
        <v>120.83333333331034</v>
      </c>
      <c r="X293" s="1056">
        <f t="shared" si="88"/>
        <v>133.7222222222299</v>
      </c>
      <c r="Y293" s="1056">
        <f t="shared" si="88"/>
        <v>141.77777777777013</v>
      </c>
      <c r="Z293" s="1057">
        <f t="shared" si="88"/>
        <v>112.77777777777011</v>
      </c>
      <c r="AA293" s="1057">
        <f t="shared" si="88"/>
        <v>125.66666666668966</v>
      </c>
      <c r="AB293" s="1057">
        <f t="shared" si="88"/>
        <v>133.7222222222299</v>
      </c>
      <c r="AC293" s="1058">
        <f t="shared" si="87"/>
        <v>104.72222222222989</v>
      </c>
      <c r="AD293" s="1058">
        <f t="shared" si="87"/>
        <v>117.61111111108045</v>
      </c>
      <c r="AE293" s="1058">
        <f t="shared" si="87"/>
        <v>125.66666666668966</v>
      </c>
      <c r="AF293" s="1059">
        <f t="shared" si="87"/>
        <v>96.66666666668696</v>
      </c>
      <c r="AG293" s="1059">
        <f t="shared" si="87"/>
        <v>109.55555555554022</v>
      </c>
      <c r="AH293" s="1059">
        <f t="shared" si="87"/>
        <v>117.61111111108045</v>
      </c>
      <c r="AI293" s="1060">
        <f t="shared" si="87"/>
        <v>88.61111111109714</v>
      </c>
      <c r="AJ293" s="1060">
        <f t="shared" si="87"/>
        <v>101.5</v>
      </c>
      <c r="AK293" s="1060">
        <f t="shared" si="87"/>
        <v>109.55555555554022</v>
      </c>
    </row>
    <row r="294" spans="8:8" ht="15.75" customHeight="1">
      <c r="D294" s="1049">
        <f t="shared" si="82"/>
        <v>0.8083333333333907</v>
      </c>
      <c r="E294" s="1050">
        <f t="shared" si="80"/>
        <v>231.18333333334976</v>
      </c>
      <c r="F294" s="1050">
        <f t="shared" si="91"/>
        <v>244.116666666684</v>
      </c>
      <c r="G294" s="1050">
        <f t="shared" si="91"/>
        <v>252.20000000001792</v>
      </c>
      <c r="H294" s="1051">
        <f t="shared" si="92"/>
        <v>215.01666666665912</v>
      </c>
      <c r="I294" s="1051">
        <f t="shared" si="92"/>
        <v>227.95000000002267</v>
      </c>
      <c r="J294" s="1051">
        <f t="shared" si="92"/>
        <v>236.0333333333409</v>
      </c>
      <c r="K294" s="1052">
        <f t="shared" si="92"/>
        <v>198.85000000002267</v>
      </c>
      <c r="L294" s="1052">
        <f t="shared" si="92"/>
        <v>211.77333333331822</v>
      </c>
      <c r="M294" s="1052">
        <f t="shared" si="92"/>
        <v>219.86666666664544</v>
      </c>
      <c r="N294" s="1053">
        <f t="shared" si="92"/>
        <v>145.5</v>
      </c>
      <c r="O294" s="1053">
        <f t="shared" si="92"/>
        <v>158.43333333336355</v>
      </c>
      <c r="P294" s="1053">
        <f t="shared" si="92"/>
        <v>166.51666666668177</v>
      </c>
      <c r="Q294" s="1054">
        <f t="shared" si="92"/>
        <v>137.41666666668178</v>
      </c>
      <c r="R294" s="1054">
        <f t="shared" si="90"/>
        <v>150.3499999999773</v>
      </c>
      <c r="S294" s="1054">
        <f t="shared" si="90"/>
        <v>158.43333333336355</v>
      </c>
      <c r="T294" s="1055">
        <f t="shared" si="89"/>
        <v>129.33333333336356</v>
      </c>
      <c r="U294" s="1055">
        <f t="shared" si="88"/>
        <v>142.26666666665912</v>
      </c>
      <c r="V294" s="1055">
        <f t="shared" si="88"/>
        <v>150.3499999999773</v>
      </c>
      <c r="W294" s="1056">
        <f t="shared" si="88"/>
        <v>121.24999999997733</v>
      </c>
      <c r="X294" s="1056">
        <f t="shared" si="88"/>
        <v>134.1833333333409</v>
      </c>
      <c r="Y294" s="1056">
        <f t="shared" si="88"/>
        <v>142.26666666665912</v>
      </c>
      <c r="Z294" s="1057">
        <f t="shared" si="88"/>
        <v>113.16666666665911</v>
      </c>
      <c r="AA294" s="1057">
        <f t="shared" si="88"/>
        <v>126.10000000002266</v>
      </c>
      <c r="AB294" s="1057">
        <f t="shared" si="88"/>
        <v>134.1833333333409</v>
      </c>
      <c r="AC294" s="1058">
        <f t="shared" si="88"/>
        <v>105.08333333334089</v>
      </c>
      <c r="AD294" s="1058">
        <f t="shared" si="88"/>
        <v>118.01666666663645</v>
      </c>
      <c r="AE294" s="1058">
        <f t="shared" si="88"/>
        <v>126.10000000002266</v>
      </c>
      <c r="AF294" s="1059">
        <f t="shared" si="88"/>
        <v>97.00000000002026</v>
      </c>
      <c r="AG294" s="1059">
        <f t="shared" si="88"/>
        <v>109.93333333331822</v>
      </c>
      <c r="AH294" s="1059">
        <f t="shared" si="88"/>
        <v>118.01666666663645</v>
      </c>
      <c r="AI294" s="1060">
        <f t="shared" si="88"/>
        <v>88.91666666665274</v>
      </c>
      <c r="AJ294" s="1060">
        <f t="shared" si="88"/>
        <v>101.85000000000001</v>
      </c>
      <c r="AK294" s="1060">
        <f t="shared" si="93" ref="AJ294:AK336">AK295-(AK$363/360)</f>
        <v>109.93333333331822</v>
      </c>
    </row>
    <row r="295" spans="8:8" ht="15.75" customHeight="1">
      <c r="D295" s="1049">
        <f t="shared" si="82"/>
        <v>0.8111111111111687</v>
      </c>
      <c r="E295" s="1050">
        <f t="shared" si="80"/>
        <v>231.97777777779424</v>
      </c>
      <c r="F295" s="1050">
        <f t="shared" si="91"/>
        <v>244.95555555557297</v>
      </c>
      <c r="G295" s="1050">
        <f t="shared" si="91"/>
        <v>253.06666666668465</v>
      </c>
      <c r="H295" s="1051">
        <f t="shared" si="92"/>
        <v>215.7555555555481</v>
      </c>
      <c r="I295" s="1051">
        <f t="shared" si="92"/>
        <v>228.73333333335566</v>
      </c>
      <c r="J295" s="1051">
        <f t="shared" si="92"/>
        <v>236.8444444444519</v>
      </c>
      <c r="K295" s="1052">
        <f t="shared" si="92"/>
        <v>199.53333333335567</v>
      </c>
      <c r="L295" s="1052">
        <f t="shared" si="92"/>
        <v>212.5011111110962</v>
      </c>
      <c r="M295" s="1052">
        <f t="shared" si="92"/>
        <v>220.62222222220143</v>
      </c>
      <c r="N295" s="1053">
        <f t="shared" si="92"/>
        <v>146.0</v>
      </c>
      <c r="O295" s="1053">
        <f t="shared" si="92"/>
        <v>158.97777777780755</v>
      </c>
      <c r="P295" s="1053">
        <f t="shared" si="92"/>
        <v>167.08888888890377</v>
      </c>
      <c r="Q295" s="1054">
        <f t="shared" si="92"/>
        <v>137.88888888890378</v>
      </c>
      <c r="R295" s="1054">
        <f t="shared" si="90"/>
        <v>150.8666666666443</v>
      </c>
      <c r="S295" s="1054">
        <f t="shared" si="90"/>
        <v>158.97777777780755</v>
      </c>
      <c r="T295" s="1055">
        <f t="shared" si="89"/>
        <v>129.77777777780753</v>
      </c>
      <c r="U295" s="1055">
        <f t="shared" si="88"/>
        <v>142.7555555555481</v>
      </c>
      <c r="V295" s="1055">
        <f t="shared" si="88"/>
        <v>150.8666666666443</v>
      </c>
      <c r="W295" s="1056">
        <f t="shared" si="88"/>
        <v>121.66666666664433</v>
      </c>
      <c r="X295" s="1056">
        <f t="shared" si="88"/>
        <v>134.6444444444519</v>
      </c>
      <c r="Y295" s="1056">
        <f t="shared" si="88"/>
        <v>142.7555555555481</v>
      </c>
      <c r="Z295" s="1057">
        <f t="shared" si="88"/>
        <v>113.55555555554811</v>
      </c>
      <c r="AA295" s="1057">
        <f t="shared" si="88"/>
        <v>126.53333333335566</v>
      </c>
      <c r="AB295" s="1057">
        <f t="shared" si="88"/>
        <v>134.6444444444519</v>
      </c>
      <c r="AC295" s="1058">
        <f t="shared" si="88"/>
        <v>105.44444444445189</v>
      </c>
      <c r="AD295" s="1058">
        <f t="shared" si="88"/>
        <v>118.42222222219245</v>
      </c>
      <c r="AE295" s="1058">
        <f t="shared" si="88"/>
        <v>126.53333333335566</v>
      </c>
      <c r="AF295" s="1059">
        <f t="shared" si="88"/>
        <v>97.33333333335356</v>
      </c>
      <c r="AG295" s="1059">
        <f t="shared" si="88"/>
        <v>110.31111111109622</v>
      </c>
      <c r="AH295" s="1059">
        <f t="shared" si="88"/>
        <v>118.42222222219245</v>
      </c>
      <c r="AI295" s="1060">
        <f t="shared" si="88"/>
        <v>89.22222222220825</v>
      </c>
      <c r="AJ295" s="1060">
        <f t="shared" si="93"/>
        <v>102.2</v>
      </c>
      <c r="AK295" s="1060">
        <f t="shared" si="93"/>
        <v>110.31111111109622</v>
      </c>
    </row>
    <row r="296" spans="8:8" ht="15.75" customHeight="1">
      <c r="D296" s="1049">
        <f t="shared" si="82"/>
        <v>0.8138888888889467</v>
      </c>
      <c r="E296" s="1050">
        <f t="shared" si="80"/>
        <v>232.77222222223875</v>
      </c>
      <c r="F296" s="1050">
        <f t="shared" si="91"/>
        <v>245.7944444444619</v>
      </c>
      <c r="G296" s="1050">
        <f t="shared" si="91"/>
        <v>253.93333333335138</v>
      </c>
      <c r="H296" s="1051">
        <f t="shared" si="92"/>
        <v>216.4944444444371</v>
      </c>
      <c r="I296" s="1051">
        <f t="shared" si="92"/>
        <v>229.51666666668868</v>
      </c>
      <c r="J296" s="1051">
        <f t="shared" si="92"/>
        <v>237.6555555555629</v>
      </c>
      <c r="K296" s="1052">
        <f t="shared" si="92"/>
        <v>200.21666666668867</v>
      </c>
      <c r="L296" s="1052">
        <f t="shared" si="92"/>
        <v>213.22888888887422</v>
      </c>
      <c r="M296" s="1052">
        <f t="shared" si="92"/>
        <v>221.37777777775744</v>
      </c>
      <c r="N296" s="1053">
        <f t="shared" si="92"/>
        <v>146.5</v>
      </c>
      <c r="O296" s="1053">
        <f t="shared" si="92"/>
        <v>159.52222222225154</v>
      </c>
      <c r="P296" s="1053">
        <f t="shared" si="92"/>
        <v>167.6611111111258</v>
      </c>
      <c r="Q296" s="1054">
        <f t="shared" si="92"/>
        <v>138.36111111112578</v>
      </c>
      <c r="R296" s="1054">
        <f t="shared" si="90"/>
        <v>151.38333333331133</v>
      </c>
      <c r="S296" s="1054">
        <f t="shared" si="90"/>
        <v>159.52222222225154</v>
      </c>
      <c r="T296" s="1055">
        <f t="shared" si="89"/>
        <v>130.22222222225153</v>
      </c>
      <c r="U296" s="1055">
        <f t="shared" si="88"/>
        <v>143.2444444444371</v>
      </c>
      <c r="V296" s="1055">
        <f t="shared" si="88"/>
        <v>151.38333333331133</v>
      </c>
      <c r="W296" s="1056">
        <f t="shared" si="88"/>
        <v>122.08333333331133</v>
      </c>
      <c r="X296" s="1056">
        <f t="shared" si="88"/>
        <v>135.1055555555629</v>
      </c>
      <c r="Y296" s="1056">
        <f t="shared" si="88"/>
        <v>143.2444444444371</v>
      </c>
      <c r="Z296" s="1057">
        <f t="shared" si="88"/>
        <v>113.94444444443711</v>
      </c>
      <c r="AA296" s="1057">
        <f t="shared" si="88"/>
        <v>126.96666666668867</v>
      </c>
      <c r="AB296" s="1057">
        <f t="shared" si="88"/>
        <v>135.1055555555629</v>
      </c>
      <c r="AC296" s="1058">
        <f t="shared" si="88"/>
        <v>105.80555555556289</v>
      </c>
      <c r="AD296" s="1058">
        <f t="shared" si="88"/>
        <v>118.82777777774845</v>
      </c>
      <c r="AE296" s="1058">
        <f t="shared" si="88"/>
        <v>126.96666666668867</v>
      </c>
      <c r="AF296" s="1059">
        <f t="shared" si="88"/>
        <v>97.66666666668687</v>
      </c>
      <c r="AG296" s="1059">
        <f t="shared" si="88"/>
        <v>110.68888888887422</v>
      </c>
      <c r="AH296" s="1059">
        <f t="shared" si="88"/>
        <v>118.82777777774845</v>
      </c>
      <c r="AI296" s="1060">
        <f t="shared" si="88"/>
        <v>89.52777777776384</v>
      </c>
      <c r="AJ296" s="1060">
        <f t="shared" si="93"/>
        <v>102.55000000000001</v>
      </c>
      <c r="AK296" s="1060">
        <f t="shared" si="93"/>
        <v>110.68888888887422</v>
      </c>
    </row>
    <row r="297" spans="8:8" ht="15.75" customHeight="1">
      <c r="D297" s="1049">
        <f t="shared" si="82"/>
        <v>0.8166666666667247</v>
      </c>
      <c r="E297" s="1050">
        <f t="shared" si="80"/>
        <v>233.56666666668326</v>
      </c>
      <c r="F297" s="1050">
        <f t="shared" si="91"/>
        <v>246.63333333335086</v>
      </c>
      <c r="G297" s="1050">
        <f t="shared" si="91"/>
        <v>254.80000000001812</v>
      </c>
      <c r="H297" s="1051">
        <f t="shared" si="92"/>
        <v>217.23333333332613</v>
      </c>
      <c r="I297" s="1051">
        <f t="shared" si="92"/>
        <v>230.30000000002167</v>
      </c>
      <c r="J297" s="1051">
        <f t="shared" si="92"/>
        <v>238.4666666666739</v>
      </c>
      <c r="K297" s="1052">
        <f t="shared" si="92"/>
        <v>200.90000000002166</v>
      </c>
      <c r="L297" s="1052">
        <f t="shared" si="92"/>
        <v>213.9566666666522</v>
      </c>
      <c r="M297" s="1052">
        <f t="shared" si="92"/>
        <v>222.13333333331343</v>
      </c>
      <c r="N297" s="1053">
        <f t="shared" si="92"/>
        <v>147.0</v>
      </c>
      <c r="O297" s="1053">
        <f t="shared" si="92"/>
        <v>160.06666666669554</v>
      </c>
      <c r="P297" s="1053">
        <f t="shared" si="92"/>
        <v>168.2333333333478</v>
      </c>
      <c r="Q297" s="1054">
        <f t="shared" si="92"/>
        <v>138.83333333334778</v>
      </c>
      <c r="R297" s="1054">
        <f t="shared" si="90"/>
        <v>151.89999999997832</v>
      </c>
      <c r="S297" s="1054">
        <f t="shared" si="90"/>
        <v>160.06666666669554</v>
      </c>
      <c r="T297" s="1055">
        <f t="shared" si="89"/>
        <v>130.66666666669553</v>
      </c>
      <c r="U297" s="1055">
        <f t="shared" si="88"/>
        <v>143.73333333332613</v>
      </c>
      <c r="V297" s="1055">
        <f t="shared" si="88"/>
        <v>151.89999999997832</v>
      </c>
      <c r="W297" s="1056">
        <f t="shared" si="88"/>
        <v>122.49999999997833</v>
      </c>
      <c r="X297" s="1056">
        <f t="shared" si="88"/>
        <v>135.56666666667388</v>
      </c>
      <c r="Y297" s="1056">
        <f t="shared" si="88"/>
        <v>143.73333333332613</v>
      </c>
      <c r="Z297" s="1057">
        <f t="shared" si="88"/>
        <v>114.33333333332611</v>
      </c>
      <c r="AA297" s="1057">
        <f t="shared" si="88"/>
        <v>127.40000000002166</v>
      </c>
      <c r="AB297" s="1057">
        <f t="shared" si="88"/>
        <v>135.56666666667388</v>
      </c>
      <c r="AC297" s="1058">
        <f t="shared" si="88"/>
        <v>106.16666666667389</v>
      </c>
      <c r="AD297" s="1058">
        <f t="shared" si="88"/>
        <v>119.23333333330444</v>
      </c>
      <c r="AE297" s="1058">
        <f t="shared" si="88"/>
        <v>127.40000000002166</v>
      </c>
      <c r="AF297" s="1059">
        <f t="shared" si="88"/>
        <v>98.00000000002017</v>
      </c>
      <c r="AG297" s="1059">
        <f t="shared" si="88"/>
        <v>111.06666666665222</v>
      </c>
      <c r="AH297" s="1059">
        <f t="shared" si="88"/>
        <v>119.23333333330444</v>
      </c>
      <c r="AI297" s="1060">
        <f t="shared" si="88"/>
        <v>89.83333333331935</v>
      </c>
      <c r="AJ297" s="1060">
        <f t="shared" si="93"/>
        <v>102.9</v>
      </c>
      <c r="AK297" s="1060">
        <f t="shared" si="93"/>
        <v>111.06666666665222</v>
      </c>
    </row>
    <row r="298" spans="8:8" ht="15.75" customHeight="1">
      <c r="D298" s="1049">
        <f t="shared" si="82"/>
        <v>0.8194444444445028</v>
      </c>
      <c r="E298" s="1050">
        <f t="shared" si="80"/>
        <v>234.3611111111278</v>
      </c>
      <c r="F298" s="1050">
        <f t="shared" si="91"/>
        <v>247.47222222223985</v>
      </c>
      <c r="G298" s="1050">
        <f t="shared" si="91"/>
        <v>255.66666666668488</v>
      </c>
      <c r="H298" s="1051">
        <f t="shared" si="92"/>
        <v>217.97222222221512</v>
      </c>
      <c r="I298" s="1051">
        <f t="shared" si="92"/>
        <v>231.08333333335466</v>
      </c>
      <c r="J298" s="1051">
        <f t="shared" si="92"/>
        <v>239.2777777777849</v>
      </c>
      <c r="K298" s="1052">
        <f t="shared" si="92"/>
        <v>201.58333333335466</v>
      </c>
      <c r="L298" s="1052">
        <f t="shared" si="92"/>
        <v>214.6844444444302</v>
      </c>
      <c r="M298" s="1052">
        <f t="shared" si="92"/>
        <v>222.88888888886945</v>
      </c>
      <c r="N298" s="1053">
        <f t="shared" si="92"/>
        <v>147.5</v>
      </c>
      <c r="O298" s="1053">
        <f t="shared" si="92"/>
        <v>160.61111111113954</v>
      </c>
      <c r="P298" s="1053">
        <f t="shared" si="92"/>
        <v>168.80555555556978</v>
      </c>
      <c r="Q298" s="1054">
        <f t="shared" si="92"/>
        <v>139.30555555556978</v>
      </c>
      <c r="R298" s="1054">
        <f t="shared" si="90"/>
        <v>152.4166666666453</v>
      </c>
      <c r="S298" s="1054">
        <f t="shared" si="90"/>
        <v>160.61111111113954</v>
      </c>
      <c r="T298" s="1055">
        <f t="shared" si="89"/>
        <v>131.11111111113954</v>
      </c>
      <c r="U298" s="1055">
        <f t="shared" si="88"/>
        <v>144.22222222221512</v>
      </c>
      <c r="V298" s="1055">
        <f t="shared" si="88"/>
        <v>152.4166666666453</v>
      </c>
      <c r="W298" s="1056">
        <f t="shared" si="88"/>
        <v>122.91666666664533</v>
      </c>
      <c r="X298" s="1056">
        <f t="shared" si="88"/>
        <v>136.0277777777849</v>
      </c>
      <c r="Y298" s="1056">
        <f t="shared" si="88"/>
        <v>144.22222222221512</v>
      </c>
      <c r="Z298" s="1057">
        <f t="shared" si="88"/>
        <v>114.72222222221511</v>
      </c>
      <c r="AA298" s="1057">
        <f t="shared" si="88"/>
        <v>127.83333333335466</v>
      </c>
      <c r="AB298" s="1057">
        <f t="shared" si="88"/>
        <v>136.0277777777849</v>
      </c>
      <c r="AC298" s="1058">
        <f t="shared" si="88"/>
        <v>106.52777777778489</v>
      </c>
      <c r="AD298" s="1058">
        <f t="shared" si="88"/>
        <v>119.63888888886045</v>
      </c>
      <c r="AE298" s="1058">
        <f t="shared" si="88"/>
        <v>127.83333333335466</v>
      </c>
      <c r="AF298" s="1059">
        <f t="shared" si="88"/>
        <v>98.33333333335347</v>
      </c>
      <c r="AG298" s="1059">
        <f t="shared" si="88"/>
        <v>111.44444444443022</v>
      </c>
      <c r="AH298" s="1059">
        <f t="shared" si="88"/>
        <v>119.63888888886045</v>
      </c>
      <c r="AI298" s="1060">
        <f t="shared" si="88"/>
        <v>90.13888888887494</v>
      </c>
      <c r="AJ298" s="1060">
        <f t="shared" si="93"/>
        <v>103.25</v>
      </c>
      <c r="AK298" s="1060">
        <f t="shared" si="93"/>
        <v>111.44444444443022</v>
      </c>
    </row>
    <row r="299" spans="8:8" ht="15.75" customHeight="1">
      <c r="D299" s="1049">
        <f t="shared" si="82"/>
        <v>0.8222222222222808</v>
      </c>
      <c r="E299" s="1050">
        <f t="shared" si="80"/>
        <v>235.1555555555723</v>
      </c>
      <c r="F299" s="1050">
        <f t="shared" si="91"/>
        <v>248.3111111111288</v>
      </c>
      <c r="G299" s="1050">
        <f t="shared" si="91"/>
        <v>256.5333333333516</v>
      </c>
      <c r="H299" s="1051">
        <f t="shared" si="92"/>
        <v>218.71111111110412</v>
      </c>
      <c r="I299" s="1051">
        <f t="shared" si="92"/>
        <v>231.86666666668768</v>
      </c>
      <c r="J299" s="1051">
        <f t="shared" si="92"/>
        <v>240.0888888888959</v>
      </c>
      <c r="K299" s="1052">
        <f t="shared" si="92"/>
        <v>202.26666666668766</v>
      </c>
      <c r="L299" s="1052">
        <f t="shared" si="92"/>
        <v>215.41222222220821</v>
      </c>
      <c r="M299" s="1052">
        <f t="shared" si="92"/>
        <v>223.64444444442543</v>
      </c>
      <c r="N299" s="1053">
        <f t="shared" si="92"/>
        <v>148.0</v>
      </c>
      <c r="O299" s="1053">
        <f t="shared" si="92"/>
        <v>161.15555555558356</v>
      </c>
      <c r="P299" s="1053">
        <f t="shared" si="92"/>
        <v>169.37777777779178</v>
      </c>
      <c r="Q299" s="1054">
        <f t="shared" si="92"/>
        <v>139.77777777779178</v>
      </c>
      <c r="R299" s="1054">
        <f t="shared" si="90"/>
        <v>152.93333333331233</v>
      </c>
      <c r="S299" s="1054">
        <f t="shared" si="90"/>
        <v>161.15555555558356</v>
      </c>
      <c r="T299" s="1055">
        <f t="shared" si="89"/>
        <v>131.55555555558354</v>
      </c>
      <c r="U299" s="1055">
        <f t="shared" si="88"/>
        <v>144.71111111110412</v>
      </c>
      <c r="V299" s="1055">
        <f t="shared" si="88"/>
        <v>152.93333333331233</v>
      </c>
      <c r="W299" s="1056">
        <f t="shared" si="88"/>
        <v>123.33333333331232</v>
      </c>
      <c r="X299" s="1056">
        <f t="shared" si="88"/>
        <v>136.4888888888959</v>
      </c>
      <c r="Y299" s="1056">
        <f t="shared" si="88"/>
        <v>144.71111111110412</v>
      </c>
      <c r="Z299" s="1057">
        <f t="shared" si="88"/>
        <v>115.11111111110411</v>
      </c>
      <c r="AA299" s="1057">
        <f t="shared" si="88"/>
        <v>128.26666666668766</v>
      </c>
      <c r="AB299" s="1057">
        <f t="shared" si="88"/>
        <v>136.4888888888959</v>
      </c>
      <c r="AC299" s="1058">
        <f t="shared" si="88"/>
        <v>106.88888888889589</v>
      </c>
      <c r="AD299" s="1058">
        <f t="shared" si="88"/>
        <v>120.04444444441644</v>
      </c>
      <c r="AE299" s="1058">
        <f t="shared" si="88"/>
        <v>128.26666666668766</v>
      </c>
      <c r="AF299" s="1059">
        <f t="shared" si="88"/>
        <v>98.66666666668677</v>
      </c>
      <c r="AG299" s="1059">
        <f t="shared" si="88"/>
        <v>111.82222222220823</v>
      </c>
      <c r="AH299" s="1059">
        <f t="shared" si="88"/>
        <v>120.04444444441644</v>
      </c>
      <c r="AI299" s="1060">
        <f t="shared" si="88"/>
        <v>90.44444444443045</v>
      </c>
      <c r="AJ299" s="1060">
        <f t="shared" si="93"/>
        <v>103.60000000000001</v>
      </c>
      <c r="AK299" s="1060">
        <f t="shared" si="93"/>
        <v>111.82222222220823</v>
      </c>
    </row>
    <row r="300" spans="8:8" ht="15.75" customHeight="1">
      <c r="D300" s="1049">
        <f t="shared" si="82"/>
        <v>0.8250000000000588</v>
      </c>
      <c r="E300" s="1050">
        <f t="shared" si="80"/>
        <v>235.95000000001681</v>
      </c>
      <c r="F300" s="1050">
        <f t="shared" si="91"/>
        <v>249.15000000001777</v>
      </c>
      <c r="G300" s="1050">
        <f t="shared" si="91"/>
        <v>257.40000000001834</v>
      </c>
      <c r="H300" s="1051">
        <f t="shared" si="92"/>
        <v>219.4499999999931</v>
      </c>
      <c r="I300" s="1051">
        <f t="shared" si="92"/>
        <v>232.65000000002067</v>
      </c>
      <c r="J300" s="1051">
        <f t="shared" si="92"/>
        <v>240.90000000000688</v>
      </c>
      <c r="K300" s="1052">
        <f t="shared" si="92"/>
        <v>202.95000000002065</v>
      </c>
      <c r="L300" s="1062">
        <f>L301-(L$363/360)-0.01</f>
        <v>216.139999999986</v>
      </c>
      <c r="M300" s="1052">
        <f t="shared" si="92"/>
        <v>224.39999999998145</v>
      </c>
      <c r="N300" s="1053">
        <f t="shared" si="92"/>
        <v>148.5</v>
      </c>
      <c r="O300" s="1053">
        <f t="shared" si="92"/>
        <v>161.70000000002756</v>
      </c>
      <c r="P300" s="1053">
        <f t="shared" si="92"/>
        <v>169.95000000001377</v>
      </c>
      <c r="Q300" s="1054">
        <f t="shared" si="92"/>
        <v>140.25000000001378</v>
      </c>
      <c r="R300" s="1054">
        <f t="shared" si="90"/>
        <v>153.44999999997933</v>
      </c>
      <c r="S300" s="1054">
        <f t="shared" si="90"/>
        <v>161.70000000002756</v>
      </c>
      <c r="T300" s="1055">
        <f t="shared" si="89"/>
        <v>132.00000000002754</v>
      </c>
      <c r="U300" s="1055">
        <f t="shared" si="88"/>
        <v>145.1999999999931</v>
      </c>
      <c r="V300" s="1055">
        <f t="shared" si="88"/>
        <v>153.44999999997933</v>
      </c>
      <c r="W300" s="1056">
        <f t="shared" si="88"/>
        <v>123.74999999997932</v>
      </c>
      <c r="X300" s="1056">
        <f t="shared" si="88"/>
        <v>136.9500000000069</v>
      </c>
      <c r="Y300" s="1056">
        <f t="shared" si="88"/>
        <v>145.1999999999931</v>
      </c>
      <c r="Z300" s="1057">
        <f t="shared" si="88"/>
        <v>115.49999999999311</v>
      </c>
      <c r="AA300" s="1057">
        <f t="shared" si="88"/>
        <v>128.70000000002065</v>
      </c>
      <c r="AB300" s="1057">
        <f t="shared" si="88"/>
        <v>136.9500000000069</v>
      </c>
      <c r="AC300" s="1058">
        <f t="shared" si="88"/>
        <v>107.25000000000689</v>
      </c>
      <c r="AD300" s="1058">
        <f t="shared" si="88"/>
        <v>120.44999999997245</v>
      </c>
      <c r="AE300" s="1058">
        <f t="shared" si="88"/>
        <v>128.70000000002065</v>
      </c>
      <c r="AF300" s="1059">
        <f t="shared" si="88"/>
        <v>99.00000000002007</v>
      </c>
      <c r="AG300" s="1059">
        <f t="shared" si="88"/>
        <v>112.19999999998622</v>
      </c>
      <c r="AH300" s="1059">
        <f t="shared" si="88"/>
        <v>120.44999999997245</v>
      </c>
      <c r="AI300" s="1060">
        <f t="shared" si="88"/>
        <v>90.74999999998604</v>
      </c>
      <c r="AJ300" s="1060">
        <f t="shared" si="93"/>
        <v>103.95</v>
      </c>
      <c r="AK300" s="1060">
        <f t="shared" si="93"/>
        <v>112.19999999998622</v>
      </c>
    </row>
    <row r="301" spans="8:8" ht="15.75" customHeight="1">
      <c r="D301" s="1049">
        <f t="shared" si="82"/>
        <v>0.8277777777778368</v>
      </c>
      <c r="E301" s="1050">
        <f t="shared" si="80"/>
        <v>236.74444444446132</v>
      </c>
      <c r="F301" s="1050">
        <f t="shared" si="91"/>
        <v>249.9888888889067</v>
      </c>
      <c r="G301" s="1050">
        <f t="shared" si="91"/>
        <v>258.26666666668507</v>
      </c>
      <c r="H301" s="1051">
        <f t="shared" si="92"/>
        <v>220.18888888888213</v>
      </c>
      <c r="I301" s="1051">
        <f t="shared" si="92"/>
        <v>233.43333333335366</v>
      </c>
      <c r="J301" s="1051">
        <f t="shared" si="92"/>
        <v>241.7111111111179</v>
      </c>
      <c r="K301" s="1052">
        <f t="shared" si="92"/>
        <v>203.63333333335368</v>
      </c>
      <c r="L301" s="1052">
        <f t="shared" si="92"/>
        <v>216.8777777777642</v>
      </c>
      <c r="M301" s="1052">
        <f t="shared" si="92"/>
        <v>225.15555555553743</v>
      </c>
      <c r="N301" s="1053">
        <f t="shared" si="92"/>
        <v>149.0</v>
      </c>
      <c r="O301" s="1053">
        <f t="shared" si="92"/>
        <v>162.24444444447155</v>
      </c>
      <c r="P301" s="1053">
        <f t="shared" si="92"/>
        <v>170.52222222223577</v>
      </c>
      <c r="Q301" s="1054">
        <f t="shared" si="92"/>
        <v>140.72222222223576</v>
      </c>
      <c r="R301" s="1054">
        <f t="shared" si="94" ref="R301:T318">R302-(R$363/360)</f>
        <v>153.96666666664632</v>
      </c>
      <c r="S301" s="1054">
        <f t="shared" si="94"/>
        <v>162.24444444447155</v>
      </c>
      <c r="T301" s="1055">
        <f t="shared" si="89"/>
        <v>132.44444444447154</v>
      </c>
      <c r="U301" s="1055">
        <f t="shared" si="88"/>
        <v>145.68888888888213</v>
      </c>
      <c r="V301" s="1055">
        <f t="shared" si="88"/>
        <v>153.96666666664632</v>
      </c>
      <c r="W301" s="1056">
        <f t="shared" si="88"/>
        <v>124.16666666664634</v>
      </c>
      <c r="X301" s="1056">
        <f t="shared" si="88"/>
        <v>137.4111111111179</v>
      </c>
      <c r="Y301" s="1056">
        <f t="shared" si="88"/>
        <v>145.68888888888213</v>
      </c>
      <c r="Z301" s="1057">
        <f t="shared" si="88"/>
        <v>115.88888888888212</v>
      </c>
      <c r="AA301" s="1057">
        <f t="shared" si="88"/>
        <v>129.13333333335368</v>
      </c>
      <c r="AB301" s="1057">
        <f t="shared" si="88"/>
        <v>137.4111111111179</v>
      </c>
      <c r="AC301" s="1058">
        <f t="shared" si="88"/>
        <v>107.61111111111788</v>
      </c>
      <c r="AD301" s="1058">
        <f t="shared" si="88"/>
        <v>120.85555555552845</v>
      </c>
      <c r="AE301" s="1058">
        <f t="shared" si="88"/>
        <v>129.13333333335368</v>
      </c>
      <c r="AF301" s="1059">
        <f t="shared" si="88"/>
        <v>99.33333333335337</v>
      </c>
      <c r="AG301" s="1059">
        <f t="shared" si="88"/>
        <v>112.57777777776423</v>
      </c>
      <c r="AH301" s="1059">
        <f t="shared" si="88"/>
        <v>120.85555555552845</v>
      </c>
      <c r="AI301" s="1060">
        <f t="shared" si="88"/>
        <v>91.05555555554155</v>
      </c>
      <c r="AJ301" s="1060">
        <f t="shared" si="93"/>
        <v>104.30000000000001</v>
      </c>
      <c r="AK301" s="1060">
        <f t="shared" si="93"/>
        <v>112.57777777776423</v>
      </c>
    </row>
    <row r="302" spans="8:8" ht="15.75" customHeight="1">
      <c r="D302" s="1049">
        <f t="shared" si="82"/>
        <v>0.8305555555556148</v>
      </c>
      <c r="E302" s="1050">
        <f t="shared" si="80"/>
        <v>237.53888888890583</v>
      </c>
      <c r="F302" s="1050">
        <f t="shared" si="91"/>
        <v>250.82777777779566</v>
      </c>
      <c r="G302" s="1050">
        <f t="shared" si="91"/>
        <v>259.1333333333518</v>
      </c>
      <c r="H302" s="1051">
        <f t="shared" si="92"/>
        <v>220.92777777777113</v>
      </c>
      <c r="I302" s="1051">
        <f t="shared" si="92"/>
        <v>234.21666666668668</v>
      </c>
      <c r="J302" s="1051">
        <f t="shared" si="92"/>
        <v>242.5222222222289</v>
      </c>
      <c r="K302" s="1052">
        <f t="shared" si="92"/>
        <v>204.31666666668667</v>
      </c>
      <c r="L302" s="1052">
        <f t="shared" si="92"/>
        <v>217.60555555554222</v>
      </c>
      <c r="M302" s="1052">
        <f t="shared" si="92"/>
        <v>225.91111111109345</v>
      </c>
      <c r="N302" s="1053">
        <f t="shared" si="92"/>
        <v>149.5</v>
      </c>
      <c r="O302" s="1053">
        <f t="shared" si="92"/>
        <v>162.78888888891555</v>
      </c>
      <c r="P302" s="1053">
        <f t="shared" si="92"/>
        <v>171.09444444445776</v>
      </c>
      <c r="Q302" s="1054">
        <f t="shared" si="92"/>
        <v>141.19444444445776</v>
      </c>
      <c r="R302" s="1054">
        <f t="shared" si="94"/>
        <v>154.4833333333133</v>
      </c>
      <c r="S302" s="1054">
        <f t="shared" si="94"/>
        <v>162.78888888891555</v>
      </c>
      <c r="T302" s="1055">
        <f t="shared" si="89"/>
        <v>132.88888888891555</v>
      </c>
      <c r="U302" s="1055">
        <f t="shared" si="88"/>
        <v>146.17777777777113</v>
      </c>
      <c r="V302" s="1055">
        <f t="shared" si="88"/>
        <v>154.4833333333133</v>
      </c>
      <c r="W302" s="1056">
        <f t="shared" si="88"/>
        <v>124.58333333331333</v>
      </c>
      <c r="X302" s="1056">
        <f t="shared" si="88"/>
        <v>137.87222222222888</v>
      </c>
      <c r="Y302" s="1056">
        <f t="shared" si="88"/>
        <v>146.17777777777113</v>
      </c>
      <c r="Z302" s="1057">
        <f t="shared" si="88"/>
        <v>116.27777777777112</v>
      </c>
      <c r="AA302" s="1057">
        <f t="shared" si="88"/>
        <v>129.56666666668667</v>
      </c>
      <c r="AB302" s="1057">
        <f t="shared" si="88"/>
        <v>137.87222222222888</v>
      </c>
      <c r="AC302" s="1058">
        <f t="shared" si="88"/>
        <v>107.97222222222888</v>
      </c>
      <c r="AD302" s="1058">
        <f t="shared" si="88"/>
        <v>121.26111111108445</v>
      </c>
      <c r="AE302" s="1058">
        <f t="shared" si="88"/>
        <v>129.56666666668667</v>
      </c>
      <c r="AF302" s="1059">
        <f t="shared" si="88"/>
        <v>99.66666666668667</v>
      </c>
      <c r="AG302" s="1059">
        <f t="shared" si="88"/>
        <v>112.95555555554222</v>
      </c>
      <c r="AH302" s="1059">
        <f t="shared" si="88"/>
        <v>121.26111111108445</v>
      </c>
      <c r="AI302" s="1060">
        <f t="shared" si="88"/>
        <v>91.36111111109714</v>
      </c>
      <c r="AJ302" s="1060">
        <f t="shared" si="93"/>
        <v>104.65</v>
      </c>
      <c r="AK302" s="1060">
        <f t="shared" si="93"/>
        <v>112.95555555554222</v>
      </c>
    </row>
    <row r="303" spans="8:8" ht="15.75" customHeight="1">
      <c r="D303" s="1049">
        <f t="shared" si="82"/>
        <v>0.8333333333333928</v>
      </c>
      <c r="E303" s="1050">
        <f t="shared" si="80"/>
        <v>238.33333333335034</v>
      </c>
      <c r="F303" s="1050">
        <f t="shared" si="91"/>
        <v>251.66666666668462</v>
      </c>
      <c r="G303" s="1050">
        <f t="shared" si="91"/>
        <v>260.00000000001853</v>
      </c>
      <c r="H303" s="1051">
        <f t="shared" si="92"/>
        <v>221.66666666666012</v>
      </c>
      <c r="I303" s="1051">
        <f t="shared" si="92"/>
        <v>235.00000000001967</v>
      </c>
      <c r="J303" s="1051">
        <f t="shared" si="92"/>
        <v>243.3333333333399</v>
      </c>
      <c r="K303" s="1052">
        <f t="shared" si="92"/>
        <v>205.00000000001967</v>
      </c>
      <c r="L303" s="1052">
        <f t="shared" si="92"/>
        <v>218.3333333333202</v>
      </c>
      <c r="M303" s="1052">
        <f t="shared" si="92"/>
        <v>226.66666666664943</v>
      </c>
      <c r="N303" s="1053">
        <f t="shared" si="92"/>
        <v>150.0</v>
      </c>
      <c r="O303" s="1053">
        <f t="shared" si="92"/>
        <v>163.33333333335955</v>
      </c>
      <c r="P303" s="1053">
        <f t="shared" si="92"/>
        <v>171.6666666666798</v>
      </c>
      <c r="Q303" s="1054">
        <f t="shared" si="92"/>
        <v>141.66666666667976</v>
      </c>
      <c r="R303" s="1054">
        <f t="shared" si="94"/>
        <v>154.99999999998033</v>
      </c>
      <c r="S303" s="1054">
        <f t="shared" si="94"/>
        <v>163.33333333335955</v>
      </c>
      <c r="T303" s="1055">
        <f t="shared" si="89"/>
        <v>133.33333333335955</v>
      </c>
      <c r="U303" s="1055">
        <f t="shared" si="88"/>
        <v>146.66666666666012</v>
      </c>
      <c r="V303" s="1055">
        <f t="shared" si="88"/>
        <v>154.99999999998033</v>
      </c>
      <c r="W303" s="1056">
        <f t="shared" si="88"/>
        <v>124.99999999998033</v>
      </c>
      <c r="X303" s="1056">
        <f t="shared" si="88"/>
        <v>138.33333333333988</v>
      </c>
      <c r="Y303" s="1056">
        <f t="shared" si="95" ref="Y303:AI327">Y304-(Y$363/360)</f>
        <v>146.66666666666012</v>
      </c>
      <c r="Z303" s="1057">
        <f t="shared" si="88"/>
        <v>116.66666666666012</v>
      </c>
      <c r="AA303" s="1057">
        <f t="shared" si="88"/>
        <v>130.00000000001967</v>
      </c>
      <c r="AB303" s="1057">
        <f t="shared" si="95"/>
        <v>138.33333333333988</v>
      </c>
      <c r="AC303" s="1058">
        <f t="shared" si="95"/>
        <v>108.33333333333988</v>
      </c>
      <c r="AD303" s="1058">
        <f t="shared" si="95"/>
        <v>121.66666666664045</v>
      </c>
      <c r="AE303" s="1058">
        <f t="shared" si="95"/>
        <v>130.00000000001967</v>
      </c>
      <c r="AF303" s="1059">
        <f t="shared" si="95"/>
        <v>100.00000000001967</v>
      </c>
      <c r="AG303" s="1059">
        <f t="shared" si="95"/>
        <v>113.33333333332023</v>
      </c>
      <c r="AH303" s="1059">
        <f t="shared" si="95"/>
        <v>121.66666666664045</v>
      </c>
      <c r="AI303" s="1060">
        <f t="shared" si="95"/>
        <v>91.66666666665274</v>
      </c>
      <c r="AJ303" s="1060">
        <f t="shared" si="93"/>
        <v>105.0</v>
      </c>
      <c r="AK303" s="1060">
        <f t="shared" si="93"/>
        <v>113.33333333332023</v>
      </c>
    </row>
    <row r="304" spans="8:8" ht="15.75" customHeight="1">
      <c r="D304" s="1049">
        <f t="shared" si="82"/>
        <v>0.8361111111111708</v>
      </c>
      <c r="E304" s="1050">
        <f t="shared" si="80"/>
        <v>239.12777777779485</v>
      </c>
      <c r="F304" s="1050">
        <f t="shared" si="91"/>
        <v>252.50555555557358</v>
      </c>
      <c r="G304" s="1050">
        <f t="shared" si="91"/>
        <v>260.86666666668526</v>
      </c>
      <c r="H304" s="1051">
        <f t="shared" si="92"/>
        <v>222.4055555555491</v>
      </c>
      <c r="I304" s="1051">
        <f t="shared" si="92"/>
        <v>235.78333333335266</v>
      </c>
      <c r="J304" s="1051">
        <f t="shared" si="92"/>
        <v>244.1444444444509</v>
      </c>
      <c r="K304" s="1052">
        <f t="shared" si="92"/>
        <v>205.68333333335266</v>
      </c>
      <c r="L304" s="1052">
        <f t="shared" si="92"/>
        <v>219.0611111110982</v>
      </c>
      <c r="M304" s="1052">
        <f t="shared" si="92"/>
        <v>227.42222222220545</v>
      </c>
      <c r="N304" s="1053">
        <f t="shared" si="92"/>
        <v>150.5</v>
      </c>
      <c r="O304" s="1053">
        <f t="shared" si="92"/>
        <v>163.87777777780354</v>
      </c>
      <c r="P304" s="1053">
        <f t="shared" si="92"/>
        <v>172.23888888890178</v>
      </c>
      <c r="Q304" s="1054">
        <f t="shared" si="92"/>
        <v>142.13888888890176</v>
      </c>
      <c r="R304" s="1054">
        <f t="shared" si="94"/>
        <v>155.51666666664732</v>
      </c>
      <c r="S304" s="1054">
        <f t="shared" si="94"/>
        <v>163.87777777780354</v>
      </c>
      <c r="T304" s="1055">
        <f t="shared" si="89"/>
        <v>133.77777777780355</v>
      </c>
      <c r="U304" s="1055">
        <f t="shared" si="96" ref="U304:AA307">U305-(U$363/360)</f>
        <v>147.1555555555491</v>
      </c>
      <c r="V304" s="1055">
        <f t="shared" si="96"/>
        <v>155.51666666664732</v>
      </c>
      <c r="W304" s="1056">
        <f t="shared" si="96"/>
        <v>125.41666666664733</v>
      </c>
      <c r="X304" s="1056">
        <f t="shared" si="96"/>
        <v>138.7944444444509</v>
      </c>
      <c r="Y304" s="1056">
        <f t="shared" si="96"/>
        <v>147.1555555555491</v>
      </c>
      <c r="Z304" s="1057">
        <f t="shared" si="96"/>
        <v>117.05555555554912</v>
      </c>
      <c r="AA304" s="1057">
        <f t="shared" si="96"/>
        <v>130.43333333335266</v>
      </c>
      <c r="AB304" s="1057">
        <f t="shared" si="95"/>
        <v>138.7944444444509</v>
      </c>
      <c r="AC304" s="1058">
        <f t="shared" si="95"/>
        <v>108.69444444445088</v>
      </c>
      <c r="AD304" s="1058">
        <f t="shared" si="95"/>
        <v>122.07222222219644</v>
      </c>
      <c r="AE304" s="1058">
        <f t="shared" si="95"/>
        <v>130.43333333335266</v>
      </c>
      <c r="AF304" s="1059">
        <f t="shared" si="95"/>
        <v>100.33333333335267</v>
      </c>
      <c r="AG304" s="1059">
        <f t="shared" si="95"/>
        <v>113.71111111109822</v>
      </c>
      <c r="AH304" s="1059">
        <f t="shared" si="95"/>
        <v>122.07222222219644</v>
      </c>
      <c r="AI304" s="1060">
        <f t="shared" si="95"/>
        <v>91.97222222220825</v>
      </c>
      <c r="AJ304" s="1060">
        <f t="shared" si="93"/>
        <v>105.35000000000001</v>
      </c>
      <c r="AK304" s="1060">
        <f t="shared" si="93"/>
        <v>113.71111111109822</v>
      </c>
    </row>
    <row r="305" spans="8:8" ht="15.75" customHeight="1">
      <c r="D305" s="1049">
        <f t="shared" si="82"/>
        <v>0.8388888888889487</v>
      </c>
      <c r="E305" s="1050">
        <f t="shared" si="80"/>
        <v>239.92222222223936</v>
      </c>
      <c r="F305" s="1050">
        <f t="shared" si="91"/>
        <v>253.3444444444625</v>
      </c>
      <c r="G305" s="1050">
        <f t="shared" si="91"/>
        <v>261.733333333352</v>
      </c>
      <c r="H305" s="1051">
        <f t="shared" si="92"/>
        <v>223.1444444444381</v>
      </c>
      <c r="I305" s="1051">
        <f t="shared" si="92"/>
        <v>236.56666666668568</v>
      </c>
      <c r="J305" s="1051">
        <f t="shared" si="92"/>
        <v>244.9555555555619</v>
      </c>
      <c r="K305" s="1052">
        <f t="shared" si="92"/>
        <v>206.36666666668566</v>
      </c>
      <c r="L305" s="1052">
        <f t="shared" si="92"/>
        <v>219.78888888887622</v>
      </c>
      <c r="M305" s="1052">
        <f t="shared" si="92"/>
        <v>228.17777777776143</v>
      </c>
      <c r="N305" s="1053">
        <f t="shared" si="92"/>
        <v>151.0</v>
      </c>
      <c r="O305" s="1053">
        <f t="shared" si="92"/>
        <v>164.42222222224754</v>
      </c>
      <c r="P305" s="1053">
        <f t="shared" si="92"/>
        <v>172.81111111112378</v>
      </c>
      <c r="Q305" s="1054">
        <f t="shared" si="92"/>
        <v>142.61111111112376</v>
      </c>
      <c r="R305" s="1054">
        <f t="shared" si="94"/>
        <v>156.03333333331432</v>
      </c>
      <c r="S305" s="1054">
        <f t="shared" si="94"/>
        <v>164.42222222224754</v>
      </c>
      <c r="T305" s="1055">
        <f t="shared" si="89"/>
        <v>134.22222222224755</v>
      </c>
      <c r="U305" s="1055">
        <f t="shared" si="96"/>
        <v>147.6444444444381</v>
      </c>
      <c r="V305" s="1055">
        <f t="shared" si="96"/>
        <v>156.03333333331432</v>
      </c>
      <c r="W305" s="1056">
        <f t="shared" si="96"/>
        <v>125.83333333331433</v>
      </c>
      <c r="X305" s="1056">
        <f t="shared" si="96"/>
        <v>139.2555555555619</v>
      </c>
      <c r="Y305" s="1056">
        <f t="shared" si="96"/>
        <v>147.6444444444381</v>
      </c>
      <c r="Z305" s="1057">
        <f t="shared" si="96"/>
        <v>117.44444444443812</v>
      </c>
      <c r="AA305" s="1057">
        <f t="shared" si="96"/>
        <v>130.86666666668566</v>
      </c>
      <c r="AB305" s="1057">
        <f t="shared" si="95"/>
        <v>139.2555555555619</v>
      </c>
      <c r="AC305" s="1058">
        <f t="shared" si="95"/>
        <v>109.05555555556188</v>
      </c>
      <c r="AD305" s="1058">
        <f t="shared" si="95"/>
        <v>122.47777777775245</v>
      </c>
      <c r="AE305" s="1058">
        <f t="shared" si="95"/>
        <v>130.86666666668566</v>
      </c>
      <c r="AF305" s="1059">
        <f t="shared" si="95"/>
        <v>100.66666666668567</v>
      </c>
      <c r="AG305" s="1059">
        <f t="shared" si="95"/>
        <v>114.08888888887623</v>
      </c>
      <c r="AH305" s="1059">
        <f t="shared" si="95"/>
        <v>122.47777777775245</v>
      </c>
      <c r="AI305" s="1060">
        <f t="shared" si="95"/>
        <v>92.27777777776384</v>
      </c>
      <c r="AJ305" s="1060">
        <f t="shared" si="93"/>
        <v>105.7</v>
      </c>
      <c r="AK305" s="1060">
        <f t="shared" si="93"/>
        <v>114.08888888887623</v>
      </c>
    </row>
    <row r="306" spans="8:8" ht="15.75" customHeight="1">
      <c r="D306" s="1049">
        <f t="shared" si="82"/>
        <v>0.8416666666667267</v>
      </c>
      <c r="E306" s="1050">
        <f t="shared" si="80"/>
        <v>240.71666666668384</v>
      </c>
      <c r="F306" s="1050">
        <f t="shared" si="91"/>
        <v>254.18333333335147</v>
      </c>
      <c r="G306" s="1050">
        <f t="shared" si="91"/>
        <v>262.6000000000187</v>
      </c>
      <c r="H306" s="1051">
        <f t="shared" si="92"/>
        <v>223.88333333332713</v>
      </c>
      <c r="I306" s="1051">
        <f t="shared" si="92"/>
        <v>237.35000000001867</v>
      </c>
      <c r="J306" s="1051">
        <f t="shared" si="92"/>
        <v>245.7666666666729</v>
      </c>
      <c r="K306" s="1052">
        <f t="shared" si="92"/>
        <v>207.05000000001866</v>
      </c>
      <c r="L306" s="1052">
        <f t="shared" si="92"/>
        <v>220.5166666666542</v>
      </c>
      <c r="M306" s="1052">
        <f t="shared" si="92"/>
        <v>228.93333333331745</v>
      </c>
      <c r="N306" s="1053">
        <f t="shared" si="92"/>
        <v>151.5</v>
      </c>
      <c r="O306" s="1053">
        <f t="shared" si="92"/>
        <v>164.96666666669154</v>
      </c>
      <c r="P306" s="1053">
        <f t="shared" si="92"/>
        <v>173.38333333334577</v>
      </c>
      <c r="Q306" s="1054">
        <f t="shared" si="92"/>
        <v>143.08333333334576</v>
      </c>
      <c r="R306" s="1054">
        <f t="shared" si="94"/>
        <v>156.5499999999813</v>
      </c>
      <c r="S306" s="1054">
        <f t="shared" si="94"/>
        <v>164.96666666669154</v>
      </c>
      <c r="T306" s="1055">
        <f t="shared" si="94"/>
        <v>134.66666666669155</v>
      </c>
      <c r="U306" s="1055">
        <f t="shared" si="96"/>
        <v>148.13333333332713</v>
      </c>
      <c r="V306" s="1055">
        <f t="shared" si="96"/>
        <v>156.5499999999813</v>
      </c>
      <c r="W306" s="1056">
        <f t="shared" si="96"/>
        <v>126.24999999998133</v>
      </c>
      <c r="X306" s="1056">
        <f t="shared" si="96"/>
        <v>139.7166666666729</v>
      </c>
      <c r="Y306" s="1056">
        <f t="shared" si="96"/>
        <v>148.13333333332713</v>
      </c>
      <c r="Z306" s="1057">
        <f t="shared" si="96"/>
        <v>117.83333333332712</v>
      </c>
      <c r="AA306" s="1057">
        <f t="shared" si="96"/>
        <v>131.30000000001866</v>
      </c>
      <c r="AB306" s="1057">
        <f>AB307-(AB$363/360)</f>
        <v>139.7166666666729</v>
      </c>
      <c r="AC306" s="1058">
        <f t="shared" si="95"/>
        <v>109.41666666667288</v>
      </c>
      <c r="AD306" s="1058">
        <f t="shared" si="95"/>
        <v>122.88333333330844</v>
      </c>
      <c r="AE306" s="1058">
        <f t="shared" si="95"/>
        <v>131.30000000001866</v>
      </c>
      <c r="AF306" s="1059">
        <f t="shared" si="95"/>
        <v>101.00000000001867</v>
      </c>
      <c r="AG306" s="1059">
        <f t="shared" si="95"/>
        <v>114.46666666665422</v>
      </c>
      <c r="AH306" s="1059">
        <f t="shared" si="95"/>
        <v>122.88333333330844</v>
      </c>
      <c r="AI306" s="1060">
        <f t="shared" si="95"/>
        <v>92.58333333331935</v>
      </c>
      <c r="AJ306" s="1060">
        <f t="shared" si="93"/>
        <v>106.05000000000001</v>
      </c>
      <c r="AK306" s="1060">
        <f t="shared" si="93"/>
        <v>114.46666666665422</v>
      </c>
    </row>
    <row r="307" spans="8:8" ht="15.75" customHeight="1">
      <c r="D307" s="1049">
        <f t="shared" si="82"/>
        <v>0.8444444444445047</v>
      </c>
      <c r="E307" s="1050">
        <f t="shared" si="80"/>
        <v>241.51111111112834</v>
      </c>
      <c r="F307" s="1050">
        <f t="shared" si="91"/>
        <v>255.02222222224043</v>
      </c>
      <c r="G307" s="1050">
        <f t="shared" si="91"/>
        <v>263.46666666668546</v>
      </c>
      <c r="H307" s="1051">
        <f t="shared" si="92"/>
        <v>224.62222222221612</v>
      </c>
      <c r="I307" s="1051">
        <f t="shared" si="92"/>
        <v>238.13333333335166</v>
      </c>
      <c r="J307" s="1051">
        <f t="shared" si="92"/>
        <v>246.5777777777839</v>
      </c>
      <c r="K307" s="1052">
        <f t="shared" si="92"/>
        <v>207.73333333335165</v>
      </c>
      <c r="L307" s="1052">
        <f t="shared" si="92"/>
        <v>221.24444444443222</v>
      </c>
      <c r="M307" s="1052">
        <f t="shared" si="92"/>
        <v>229.68888888887344</v>
      </c>
      <c r="N307" s="1053">
        <f t="shared" si="92"/>
        <v>152.0</v>
      </c>
      <c r="O307" s="1053">
        <f t="shared" si="92"/>
        <v>165.51111111113556</v>
      </c>
      <c r="P307" s="1053">
        <f t="shared" si="92"/>
        <v>173.95555555556777</v>
      </c>
      <c r="Q307" s="1054">
        <f t="shared" si="92"/>
        <v>143.55555555556776</v>
      </c>
      <c r="R307" s="1054">
        <f t="shared" si="97" ref="R307:T311">R308-(R$363/360)</f>
        <v>157.06666666664833</v>
      </c>
      <c r="S307" s="1054">
        <f t="shared" si="97"/>
        <v>165.51111111113556</v>
      </c>
      <c r="T307" s="1055">
        <f t="shared" si="97"/>
        <v>135.11111111113556</v>
      </c>
      <c r="U307" s="1055">
        <f t="shared" si="96"/>
        <v>148.62222222221612</v>
      </c>
      <c r="V307" s="1055">
        <f t="shared" si="96"/>
        <v>157.06666666664833</v>
      </c>
      <c r="W307" s="1056">
        <f t="shared" si="96"/>
        <v>126.66666666664833</v>
      </c>
      <c r="X307" s="1056">
        <f t="shared" si="96"/>
        <v>140.1777777777839</v>
      </c>
      <c r="Y307" s="1056">
        <f t="shared" si="96"/>
        <v>148.62222222221612</v>
      </c>
      <c r="Z307" s="1057">
        <f t="shared" si="96"/>
        <v>118.22222222221612</v>
      </c>
      <c r="AA307" s="1057">
        <f t="shared" si="96"/>
        <v>131.73333333335165</v>
      </c>
      <c r="AB307" s="1057">
        <f>AB308-(AB$363/360)</f>
        <v>140.1777777777839</v>
      </c>
      <c r="AC307" s="1058">
        <f>AC308-(AC$363/360)</f>
        <v>109.77777777778388</v>
      </c>
      <c r="AD307" s="1058">
        <f>AD308-(AD$363/360)</f>
        <v>123.28888888886445</v>
      </c>
      <c r="AE307" s="1058">
        <f t="shared" si="95"/>
        <v>131.73333333335165</v>
      </c>
      <c r="AF307" s="1059">
        <f t="shared" si="95"/>
        <v>101.33333333335167</v>
      </c>
      <c r="AG307" s="1059">
        <f t="shared" si="95"/>
        <v>114.84444444443221</v>
      </c>
      <c r="AH307" s="1059">
        <f t="shared" si="95"/>
        <v>123.28888888886445</v>
      </c>
      <c r="AI307" s="1060">
        <f t="shared" si="95"/>
        <v>92.88888888887494</v>
      </c>
      <c r="AJ307" s="1060">
        <f t="shared" si="93"/>
        <v>106.4</v>
      </c>
      <c r="AK307" s="1060">
        <f t="shared" si="93"/>
        <v>114.84444444443221</v>
      </c>
    </row>
    <row r="308" spans="8:8" ht="15.75" customHeight="1">
      <c r="D308" s="1049">
        <f t="shared" si="82"/>
        <v>0.8472222222222827</v>
      </c>
      <c r="E308" s="1050">
        <f t="shared" si="80"/>
        <v>242.30555555557285</v>
      </c>
      <c r="F308" s="1050">
        <f t="shared" si="91"/>
        <v>255.8611111111294</v>
      </c>
      <c r="G308" s="1050">
        <f t="shared" si="91"/>
        <v>264.3333333333522</v>
      </c>
      <c r="H308" s="1051">
        <f t="shared" si="92"/>
        <v>225.36111111110512</v>
      </c>
      <c r="I308" s="1051">
        <f t="shared" si="92"/>
        <v>238.91666666668468</v>
      </c>
      <c r="J308" s="1051">
        <f t="shared" si="92"/>
        <v>247.3888888888949</v>
      </c>
      <c r="K308" s="1052">
        <f t="shared" si="92"/>
        <v>208.41666666668468</v>
      </c>
      <c r="L308" s="1052">
        <f>L309-(L$363/360)</f>
        <v>221.9722222222102</v>
      </c>
      <c r="M308" s="1052">
        <f t="shared" si="92"/>
        <v>230.44444444442945</v>
      </c>
      <c r="N308" s="1053">
        <f t="shared" si="92"/>
        <v>152.5</v>
      </c>
      <c r="O308" s="1053">
        <f t="shared" si="92"/>
        <v>166.05555555557956</v>
      </c>
      <c r="P308" s="1053">
        <f t="shared" si="92"/>
        <v>174.52777777778977</v>
      </c>
      <c r="Q308" s="1054">
        <f t="shared" si="92"/>
        <v>144.02777777778977</v>
      </c>
      <c r="R308" s="1054">
        <f t="shared" si="97"/>
        <v>157.58333333331532</v>
      </c>
      <c r="S308" s="1054">
        <f t="shared" si="97"/>
        <v>166.05555555557956</v>
      </c>
      <c r="T308" s="1055">
        <f t="shared" si="97"/>
        <v>135.55555555557953</v>
      </c>
      <c r="U308" s="1055">
        <f t="shared" si="98" ref="U308:X311">U309-(U$363/360)</f>
        <v>149.11111111110512</v>
      </c>
      <c r="V308" s="1055">
        <f t="shared" si="98"/>
        <v>157.58333333331532</v>
      </c>
      <c r="W308" s="1056">
        <f t="shared" si="98"/>
        <v>127.08333333331532</v>
      </c>
      <c r="X308" s="1056">
        <f t="shared" si="98"/>
        <v>140.63888888889488</v>
      </c>
      <c r="Y308" s="1056">
        <f t="shared" si="95"/>
        <v>149.11111111110512</v>
      </c>
      <c r="Z308" s="1057">
        <f t="shared" si="95"/>
        <v>118.61111111110512</v>
      </c>
      <c r="AA308" s="1057">
        <f t="shared" si="95"/>
        <v>132.16666666668468</v>
      </c>
      <c r="AB308" s="1057">
        <f t="shared" si="95"/>
        <v>140.63888888889488</v>
      </c>
      <c r="AC308" s="1058">
        <f t="shared" si="95"/>
        <v>110.13888888889488</v>
      </c>
      <c r="AD308" s="1058">
        <f t="shared" si="95"/>
        <v>123.69444444442045</v>
      </c>
      <c r="AE308" s="1058">
        <f t="shared" si="95"/>
        <v>132.16666666668468</v>
      </c>
      <c r="AF308" s="1059">
        <f t="shared" si="95"/>
        <v>101.66666666668468</v>
      </c>
      <c r="AG308" s="1059">
        <f t="shared" si="95"/>
        <v>115.22222222221022</v>
      </c>
      <c r="AH308" s="1059">
        <f t="shared" si="95"/>
        <v>123.69444444442045</v>
      </c>
      <c r="AI308" s="1060">
        <f t="shared" si="95"/>
        <v>93.19444444443045</v>
      </c>
      <c r="AJ308" s="1060">
        <f t="shared" si="93"/>
        <v>106.75</v>
      </c>
      <c r="AK308" s="1060">
        <f t="shared" si="93"/>
        <v>115.22222222221022</v>
      </c>
    </row>
    <row r="309" spans="8:8" ht="15.75" customHeight="1">
      <c r="D309" s="1049">
        <f t="shared" si="82"/>
        <v>0.8500000000000608</v>
      </c>
      <c r="E309" s="1050">
        <f t="shared" si="80"/>
        <v>243.1000000000174</v>
      </c>
      <c r="F309" s="1050">
        <f t="shared" si="91"/>
        <v>256.70000000001835</v>
      </c>
      <c r="G309" s="1050">
        <f t="shared" si="91"/>
        <v>265.200000000019</v>
      </c>
      <c r="H309" s="1051">
        <f t="shared" si="92"/>
        <v>226.0999999999941</v>
      </c>
      <c r="I309" s="1051">
        <f t="shared" si="92"/>
        <v>239.70000000001767</v>
      </c>
      <c r="J309" s="1051">
        <f t="shared" si="92"/>
        <v>248.2000000000059</v>
      </c>
      <c r="K309" s="1052">
        <f t="shared" si="92"/>
        <v>209.10000000001767</v>
      </c>
      <c r="L309" s="1052">
        <f t="shared" si="92"/>
        <v>222.69999999998822</v>
      </c>
      <c r="M309" s="1052">
        <f t="shared" si="92"/>
        <v>231.19999999998544</v>
      </c>
      <c r="N309" s="1053">
        <f t="shared" si="92"/>
        <v>153.0</v>
      </c>
      <c r="O309" s="1053">
        <f t="shared" si="92"/>
        <v>166.60000000002356</v>
      </c>
      <c r="P309" s="1053">
        <f t="shared" si="92"/>
        <v>175.1000000000118</v>
      </c>
      <c r="Q309" s="1054">
        <f t="shared" si="92"/>
        <v>144.50000000001177</v>
      </c>
      <c r="R309" s="1054">
        <f t="shared" si="97"/>
        <v>158.09999999998232</v>
      </c>
      <c r="S309" s="1054">
        <f t="shared" si="97"/>
        <v>166.60000000002356</v>
      </c>
      <c r="T309" s="1055">
        <f t="shared" si="97"/>
        <v>136.00000000002353</v>
      </c>
      <c r="U309" s="1055">
        <f t="shared" si="98"/>
        <v>149.5999999999941</v>
      </c>
      <c r="V309" s="1055">
        <f t="shared" si="98"/>
        <v>158.09999999998232</v>
      </c>
      <c r="W309" s="1056">
        <f t="shared" si="98"/>
        <v>127.49999999998232</v>
      </c>
      <c r="X309" s="1056">
        <f t="shared" si="98"/>
        <v>141.10000000000588</v>
      </c>
      <c r="Y309" s="1056">
        <f t="shared" si="95"/>
        <v>149.5999999999941</v>
      </c>
      <c r="Z309" s="1057">
        <f t="shared" si="95"/>
        <v>118.99999999999412</v>
      </c>
      <c r="AA309" s="1057">
        <f t="shared" si="95"/>
        <v>132.60000000001767</v>
      </c>
      <c r="AB309" s="1057">
        <f t="shared" si="95"/>
        <v>141.10000000000588</v>
      </c>
      <c r="AC309" s="1058">
        <f t="shared" si="95"/>
        <v>110.50000000000588</v>
      </c>
      <c r="AD309" s="1058">
        <f t="shared" si="95"/>
        <v>124.09999999997645</v>
      </c>
      <c r="AE309" s="1058">
        <f t="shared" si="95"/>
        <v>132.60000000001767</v>
      </c>
      <c r="AF309" s="1059">
        <f t="shared" si="95"/>
        <v>102.00000000001768</v>
      </c>
      <c r="AG309" s="1059">
        <f t="shared" si="95"/>
        <v>115.59999999998821</v>
      </c>
      <c r="AH309" s="1059">
        <f t="shared" si="95"/>
        <v>124.09999999997645</v>
      </c>
      <c r="AI309" s="1060">
        <f t="shared" si="95"/>
        <v>93.49999999998604</v>
      </c>
      <c r="AJ309" s="1060">
        <f t="shared" si="93"/>
        <v>107.10000000000001</v>
      </c>
      <c r="AK309" s="1060">
        <f t="shared" si="93"/>
        <v>115.59999999998821</v>
      </c>
    </row>
    <row r="310" spans="8:8" ht="15.75" customHeight="1">
      <c r="D310" s="1049">
        <f t="shared" si="82"/>
        <v>0.8527777777778388</v>
      </c>
      <c r="E310" s="1050">
        <f t="shared" si="80"/>
        <v>243.8944444444619</v>
      </c>
      <c r="F310" s="1050">
        <f t="shared" si="91"/>
        <v>257.5388888889073</v>
      </c>
      <c r="G310" s="1050">
        <f t="shared" si="91"/>
        <v>266.0666666666857</v>
      </c>
      <c r="H310" s="1051">
        <f t="shared" si="92"/>
        <v>226.83888888888313</v>
      </c>
      <c r="I310" s="1051">
        <f t="shared" si="92"/>
        <v>240.48333333335066</v>
      </c>
      <c r="J310" s="1051">
        <f t="shared" si="92"/>
        <v>249.0111111111169</v>
      </c>
      <c r="K310" s="1052">
        <f t="shared" si="92"/>
        <v>209.78333333335067</v>
      </c>
      <c r="L310" s="1052">
        <f t="shared" si="92"/>
        <v>223.4277777777662</v>
      </c>
      <c r="M310" s="1052">
        <f t="shared" si="92"/>
        <v>231.95555555554145</v>
      </c>
      <c r="N310" s="1053">
        <f t="shared" si="92"/>
        <v>153.5</v>
      </c>
      <c r="O310" s="1053">
        <f t="shared" si="92"/>
        <v>167.14444444446755</v>
      </c>
      <c r="P310" s="1053">
        <f t="shared" si="92"/>
        <v>175.67222222223378</v>
      </c>
      <c r="Q310" s="1054">
        <f t="shared" si="92"/>
        <v>144.97222222223377</v>
      </c>
      <c r="R310" s="1054">
        <f t="shared" si="97"/>
        <v>158.6166666666493</v>
      </c>
      <c r="S310" s="1054">
        <f t="shared" si="97"/>
        <v>167.14444444446755</v>
      </c>
      <c r="T310" s="1055">
        <f t="shared" si="97"/>
        <v>136.44444444446754</v>
      </c>
      <c r="U310" s="1055">
        <f t="shared" si="98"/>
        <v>150.08888888888313</v>
      </c>
      <c r="V310" s="1055">
        <f t="shared" si="98"/>
        <v>158.6166666666493</v>
      </c>
      <c r="W310" s="1056">
        <f t="shared" si="98"/>
        <v>127.91666666664933</v>
      </c>
      <c r="X310" s="1056">
        <f t="shared" si="98"/>
        <v>141.5611111111169</v>
      </c>
      <c r="Y310" s="1056">
        <f t="shared" si="95"/>
        <v>150.08888888888313</v>
      </c>
      <c r="Z310" s="1057">
        <f t="shared" si="95"/>
        <v>119.38888888888312</v>
      </c>
      <c r="AA310" s="1057">
        <f t="shared" si="95"/>
        <v>133.03333333335067</v>
      </c>
      <c r="AB310" s="1057">
        <f t="shared" si="95"/>
        <v>141.5611111111169</v>
      </c>
      <c r="AC310" s="1058">
        <f t="shared" si="95"/>
        <v>110.86111111111688</v>
      </c>
      <c r="AD310" s="1058">
        <f t="shared" si="95"/>
        <v>124.50555555553245</v>
      </c>
      <c r="AE310" s="1058">
        <f t="shared" si="95"/>
        <v>133.03333333335067</v>
      </c>
      <c r="AF310" s="1059">
        <f t="shared" si="95"/>
        <v>102.33333333335067</v>
      </c>
      <c r="AG310" s="1059">
        <f t="shared" si="95"/>
        <v>115.97777777776622</v>
      </c>
      <c r="AH310" s="1059">
        <f t="shared" si="95"/>
        <v>124.50555555553245</v>
      </c>
      <c r="AI310" s="1060">
        <f t="shared" si="95"/>
        <v>93.80555555554155</v>
      </c>
      <c r="AJ310" s="1060">
        <f t="shared" si="93"/>
        <v>107.45</v>
      </c>
      <c r="AK310" s="1060">
        <f t="shared" si="93"/>
        <v>115.97777777776622</v>
      </c>
    </row>
    <row r="311" spans="8:8" ht="15.75" customHeight="1">
      <c r="D311" s="1049">
        <f t="shared" si="82"/>
        <v>0.8555555555556168</v>
      </c>
      <c r="E311" s="1050">
        <f t="shared" si="80"/>
        <v>244.6888888889064</v>
      </c>
      <c r="F311" s="1050">
        <f t="shared" si="91"/>
        <v>258.37777777779627</v>
      </c>
      <c r="G311" s="1050">
        <f t="shared" si="91"/>
        <v>266.93333333335244</v>
      </c>
      <c r="H311" s="1051">
        <f t="shared" si="92"/>
        <v>227.57777777777213</v>
      </c>
      <c r="I311" s="1051">
        <f t="shared" si="92"/>
        <v>241.26666666668368</v>
      </c>
      <c r="J311" s="1051">
        <f t="shared" si="92"/>
        <v>249.8222222222279</v>
      </c>
      <c r="K311" s="1052">
        <f t="shared" si="92"/>
        <v>210.46666666668366</v>
      </c>
      <c r="L311" s="1052">
        <f t="shared" si="92"/>
        <v>224.15555555554423</v>
      </c>
      <c r="M311" s="1052">
        <f t="shared" si="92"/>
        <v>232.71111111109744</v>
      </c>
      <c r="N311" s="1053">
        <f t="shared" si="92"/>
        <v>154.0</v>
      </c>
      <c r="O311" s="1053">
        <f t="shared" si="92"/>
        <v>167.68888888891155</v>
      </c>
      <c r="P311" s="1053">
        <f t="shared" si="92"/>
        <v>176.24444444445578</v>
      </c>
      <c r="Q311" s="1054">
        <f t="shared" si="92"/>
        <v>145.44444444445577</v>
      </c>
      <c r="R311" s="1054">
        <f t="shared" si="97"/>
        <v>159.13333333331633</v>
      </c>
      <c r="S311" s="1054">
        <f t="shared" si="97"/>
        <v>167.68888888891155</v>
      </c>
      <c r="T311" s="1055">
        <f t="shared" si="97"/>
        <v>136.88888888891154</v>
      </c>
      <c r="U311" s="1055">
        <f t="shared" si="98"/>
        <v>150.57777777777213</v>
      </c>
      <c r="V311" s="1055">
        <f t="shared" si="98"/>
        <v>159.13333333331633</v>
      </c>
      <c r="W311" s="1056">
        <f t="shared" si="98"/>
        <v>128.33333333331635</v>
      </c>
      <c r="X311" s="1056">
        <f t="shared" si="98"/>
        <v>142.0222222222279</v>
      </c>
      <c r="Y311" s="1056">
        <f t="shared" si="95"/>
        <v>150.57777777777213</v>
      </c>
      <c r="Z311" s="1057">
        <f t="shared" si="95"/>
        <v>119.77777777777212</v>
      </c>
      <c r="AA311" s="1057">
        <f t="shared" si="95"/>
        <v>133.46666666668366</v>
      </c>
      <c r="AB311" s="1057">
        <f t="shared" si="95"/>
        <v>142.0222222222279</v>
      </c>
      <c r="AC311" s="1058">
        <f t="shared" si="95"/>
        <v>111.22222222222788</v>
      </c>
      <c r="AD311" s="1058">
        <f t="shared" si="95"/>
        <v>124.91111111108845</v>
      </c>
      <c r="AE311" s="1058">
        <f t="shared" si="95"/>
        <v>133.46666666668366</v>
      </c>
      <c r="AF311" s="1059">
        <f t="shared" si="95"/>
        <v>102.66666666668367</v>
      </c>
      <c r="AG311" s="1059">
        <f t="shared" si="95"/>
        <v>116.35555555554421</v>
      </c>
      <c r="AH311" s="1059">
        <f t="shared" si="95"/>
        <v>124.91111111108845</v>
      </c>
      <c r="AI311" s="1060">
        <f t="shared" si="95"/>
        <v>94.11111111109714</v>
      </c>
      <c r="AJ311" s="1060">
        <f t="shared" si="93"/>
        <v>107.80000000000001</v>
      </c>
      <c r="AK311" s="1060">
        <f t="shared" si="93"/>
        <v>116.35555555554421</v>
      </c>
    </row>
    <row r="312" spans="8:8" ht="15.75" customHeight="1">
      <c r="D312" s="1049">
        <f t="shared" si="82"/>
        <v>0.8583333333333948</v>
      </c>
      <c r="E312" s="1050">
        <f t="shared" si="80"/>
        <v>245.4833333333509</v>
      </c>
      <c r="F312" s="1050">
        <f t="shared" si="91"/>
        <v>259.2166666666852</v>
      </c>
      <c r="G312" s="1050">
        <f t="shared" si="91"/>
        <v>267.80000000001917</v>
      </c>
      <c r="H312" s="1051">
        <f t="shared" si="92"/>
        <v>228.31666666666112</v>
      </c>
      <c r="I312" s="1051">
        <f t="shared" si="92"/>
        <v>242.05000000001667</v>
      </c>
      <c r="J312" s="1051">
        <f t="shared" si="92"/>
        <v>250.6333333333389</v>
      </c>
      <c r="K312" s="1052">
        <f t="shared" si="92"/>
        <v>211.15000000001666</v>
      </c>
      <c r="L312" s="1052">
        <f t="shared" si="99" ref="H312:Q331">L313-(L$363/360)</f>
        <v>224.8833333333222</v>
      </c>
      <c r="M312" s="1052">
        <f t="shared" si="99"/>
        <v>233.46666666665345</v>
      </c>
      <c r="N312" s="1053">
        <f t="shared" si="99"/>
        <v>154.5</v>
      </c>
      <c r="O312" s="1053">
        <f t="shared" si="99"/>
        <v>168.23333333335555</v>
      </c>
      <c r="P312" s="1053">
        <f t="shared" si="99"/>
        <v>176.81666666667778</v>
      </c>
      <c r="Q312" s="1054">
        <f t="shared" si="99"/>
        <v>145.91666666667777</v>
      </c>
      <c r="R312" s="1054">
        <f t="shared" si="94"/>
        <v>159.64999999998332</v>
      </c>
      <c r="S312" s="1054">
        <f t="shared" si="94"/>
        <v>168.23333333335555</v>
      </c>
      <c r="T312" s="1055">
        <f t="shared" si="94"/>
        <v>137.33333333335554</v>
      </c>
      <c r="U312" s="1055">
        <f t="shared" si="100" ref="U312:X333">U313-(U$363/360)</f>
        <v>151.06666666666112</v>
      </c>
      <c r="V312" s="1055">
        <f t="shared" si="100"/>
        <v>159.64999999998332</v>
      </c>
      <c r="W312" s="1056">
        <f t="shared" si="100"/>
        <v>128.74999999998334</v>
      </c>
      <c r="X312" s="1056">
        <f t="shared" si="100"/>
        <v>142.4833333333389</v>
      </c>
      <c r="Y312" s="1056">
        <f t="shared" si="95"/>
        <v>151.06666666666112</v>
      </c>
      <c r="Z312" s="1057">
        <f t="shared" si="95"/>
        <v>120.16666666666111</v>
      </c>
      <c r="AA312" s="1057">
        <f t="shared" si="95"/>
        <v>133.90000000001666</v>
      </c>
      <c r="AB312" s="1057">
        <f t="shared" si="95"/>
        <v>142.4833333333389</v>
      </c>
      <c r="AC312" s="1058">
        <f t="shared" si="95"/>
        <v>111.58333333333889</v>
      </c>
      <c r="AD312" s="1058">
        <f t="shared" si="95"/>
        <v>125.31666666664445</v>
      </c>
      <c r="AE312" s="1058">
        <f t="shared" si="95"/>
        <v>133.90000000001666</v>
      </c>
      <c r="AF312" s="1059">
        <f t="shared" si="95"/>
        <v>103.00000000001667</v>
      </c>
      <c r="AG312" s="1059">
        <f t="shared" si="95"/>
        <v>116.73333333332222</v>
      </c>
      <c r="AH312" s="1059">
        <f t="shared" si="95"/>
        <v>125.31666666664445</v>
      </c>
      <c r="AI312" s="1060">
        <f t="shared" si="95"/>
        <v>94.41666666665274</v>
      </c>
      <c r="AJ312" s="1060">
        <f t="shared" si="93"/>
        <v>108.15</v>
      </c>
      <c r="AK312" s="1060">
        <f t="shared" si="93"/>
        <v>116.73333333332222</v>
      </c>
    </row>
    <row r="313" spans="8:8" ht="15.75" customHeight="1">
      <c r="D313" s="1049">
        <f t="shared" si="82"/>
        <v>0.8611111111111728</v>
      </c>
      <c r="E313" s="1050">
        <f t="shared" si="80"/>
        <v>246.27777777779542</v>
      </c>
      <c r="F313" s="1050">
        <f t="shared" si="91"/>
        <v>260.0555555555742</v>
      </c>
      <c r="G313" s="1050">
        <f t="shared" si="91"/>
        <v>268.6666666666859</v>
      </c>
      <c r="H313" s="1051">
        <f t="shared" si="99"/>
        <v>229.05555555555011</v>
      </c>
      <c r="I313" s="1051">
        <f t="shared" si="99"/>
        <v>242.83333333334966</v>
      </c>
      <c r="J313" s="1051">
        <f t="shared" si="99"/>
        <v>251.44444444444989</v>
      </c>
      <c r="K313" s="1052">
        <f t="shared" si="99"/>
        <v>211.83333333334966</v>
      </c>
      <c r="L313" s="1052">
        <f t="shared" si="99"/>
        <v>225.6111111111002</v>
      </c>
      <c r="M313" s="1052">
        <f t="shared" si="99"/>
        <v>234.22222222220944</v>
      </c>
      <c r="N313" s="1053">
        <f t="shared" si="99"/>
        <v>155.0</v>
      </c>
      <c r="O313" s="1053">
        <f t="shared" si="99"/>
        <v>168.77777777779954</v>
      </c>
      <c r="P313" s="1053">
        <f t="shared" si="99"/>
        <v>177.38888888889977</v>
      </c>
      <c r="Q313" s="1054">
        <f t="shared" si="99"/>
        <v>146.38888888889977</v>
      </c>
      <c r="R313" s="1054">
        <f t="shared" si="94"/>
        <v>160.16666666665031</v>
      </c>
      <c r="S313" s="1054">
        <f t="shared" si="94"/>
        <v>168.77777777779954</v>
      </c>
      <c r="T313" s="1055">
        <f t="shared" si="94"/>
        <v>137.77777777779954</v>
      </c>
      <c r="U313" s="1055">
        <f t="shared" si="100"/>
        <v>151.55555555555011</v>
      </c>
      <c r="V313" s="1055">
        <f t="shared" si="100"/>
        <v>160.16666666665031</v>
      </c>
      <c r="W313" s="1056">
        <f t="shared" si="100"/>
        <v>129.16666666665034</v>
      </c>
      <c r="X313" s="1056">
        <f t="shared" si="100"/>
        <v>142.94444444444989</v>
      </c>
      <c r="Y313" s="1056">
        <f t="shared" si="95"/>
        <v>151.55555555555011</v>
      </c>
      <c r="Z313" s="1057">
        <f t="shared" si="95"/>
        <v>120.55555555555011</v>
      </c>
      <c r="AA313" s="1057">
        <f t="shared" si="95"/>
        <v>134.33333333334966</v>
      </c>
      <c r="AB313" s="1057">
        <f t="shared" si="95"/>
        <v>142.94444444444989</v>
      </c>
      <c r="AC313" s="1058">
        <f t="shared" si="95"/>
        <v>111.94444444444989</v>
      </c>
      <c r="AD313" s="1058">
        <f t="shared" si="95"/>
        <v>125.72222222220044</v>
      </c>
      <c r="AE313" s="1058">
        <f t="shared" si="95"/>
        <v>134.33333333334966</v>
      </c>
      <c r="AF313" s="1059">
        <f t="shared" si="95"/>
        <v>103.33333333334967</v>
      </c>
      <c r="AG313" s="1059">
        <f t="shared" si="95"/>
        <v>117.11111111110021</v>
      </c>
      <c r="AH313" s="1059">
        <f t="shared" si="95"/>
        <v>125.72222222220044</v>
      </c>
      <c r="AI313" s="1060">
        <f t="shared" si="95"/>
        <v>94.72222222220825</v>
      </c>
      <c r="AJ313" s="1060">
        <f t="shared" si="93"/>
        <v>108.5</v>
      </c>
      <c r="AK313" s="1060">
        <f t="shared" si="93"/>
        <v>117.11111111110021</v>
      </c>
    </row>
    <row r="314" spans="8:8" ht="15.75" customHeight="1">
      <c r="D314" s="1049">
        <f t="shared" si="82"/>
        <v>0.8638888888889508</v>
      </c>
      <c r="E314" s="1050">
        <f t="shared" si="80"/>
        <v>247.07222222223993</v>
      </c>
      <c r="F314" s="1050">
        <f t="shared" si="91"/>
        <v>260.89444444446315</v>
      </c>
      <c r="G314" s="1050">
        <f t="shared" si="91"/>
        <v>269.53333333335263</v>
      </c>
      <c r="H314" s="1051">
        <f t="shared" si="99"/>
        <v>229.7944444444391</v>
      </c>
      <c r="I314" s="1051">
        <f t="shared" si="99"/>
        <v>243.61666666668268</v>
      </c>
      <c r="J314" s="1051">
        <f t="shared" si="99"/>
        <v>252.2555555555609</v>
      </c>
      <c r="K314" s="1052">
        <f t="shared" si="99"/>
        <v>212.51666666668265</v>
      </c>
      <c r="L314" s="1052">
        <f t="shared" si="99"/>
        <v>226.33888888887822</v>
      </c>
      <c r="M314" s="1052">
        <f t="shared" si="99"/>
        <v>234.97777777776545</v>
      </c>
      <c r="N314" s="1053">
        <f t="shared" si="99"/>
        <v>155.5</v>
      </c>
      <c r="O314" s="1053">
        <f t="shared" si="99"/>
        <v>169.32222222224354</v>
      </c>
      <c r="P314" s="1053">
        <f t="shared" si="99"/>
        <v>177.96111111112177</v>
      </c>
      <c r="Q314" s="1054">
        <f t="shared" si="99"/>
        <v>146.86111111112177</v>
      </c>
      <c r="R314" s="1054">
        <f t="shared" si="94"/>
        <v>160.6833333333173</v>
      </c>
      <c r="S314" s="1054">
        <f t="shared" si="94"/>
        <v>169.32222222224354</v>
      </c>
      <c r="T314" s="1055">
        <f t="shared" si="94"/>
        <v>138.22222222224354</v>
      </c>
      <c r="U314" s="1055">
        <f t="shared" si="100"/>
        <v>152.0444444444391</v>
      </c>
      <c r="V314" s="1055">
        <f t="shared" si="100"/>
        <v>160.6833333333173</v>
      </c>
      <c r="W314" s="1056">
        <f t="shared" si="100"/>
        <v>129.58333333331734</v>
      </c>
      <c r="X314" s="1056">
        <f t="shared" si="100"/>
        <v>143.40555555556088</v>
      </c>
      <c r="Y314" s="1056">
        <f t="shared" si="95"/>
        <v>152.0444444444391</v>
      </c>
      <c r="Z314" s="1057">
        <f t="shared" si="95"/>
        <v>120.94444444443911</v>
      </c>
      <c r="AA314" s="1057">
        <f t="shared" si="95"/>
        <v>134.76666666668265</v>
      </c>
      <c r="AB314" s="1057">
        <f t="shared" si="95"/>
        <v>143.40555555556088</v>
      </c>
      <c r="AC314" s="1058">
        <f t="shared" si="95"/>
        <v>112.30555555556089</v>
      </c>
      <c r="AD314" s="1058">
        <f t="shared" si="95"/>
        <v>126.12777777775645</v>
      </c>
      <c r="AE314" s="1058">
        <f t="shared" si="95"/>
        <v>134.76666666668265</v>
      </c>
      <c r="AF314" s="1059">
        <f t="shared" si="95"/>
        <v>103.66666666668267</v>
      </c>
      <c r="AG314" s="1059">
        <f t="shared" si="95"/>
        <v>117.48888888887822</v>
      </c>
      <c r="AH314" s="1059">
        <f t="shared" si="95"/>
        <v>126.12777777775645</v>
      </c>
      <c r="AI314" s="1060">
        <f t="shared" si="95"/>
        <v>95.02777777776384</v>
      </c>
      <c r="AJ314" s="1060">
        <f t="shared" si="93"/>
        <v>108.85000000000001</v>
      </c>
      <c r="AK314" s="1060">
        <f t="shared" si="93"/>
        <v>117.48888888887822</v>
      </c>
    </row>
    <row r="315" spans="8:8" ht="15.75" customHeight="1">
      <c r="D315" s="1049">
        <f t="shared" si="82"/>
        <v>0.8666666666667288</v>
      </c>
      <c r="E315" s="1050">
        <f t="shared" si="80"/>
        <v>247.86666666668444</v>
      </c>
      <c r="F315" s="1050">
        <f t="shared" si="91"/>
        <v>261.7333333333521</v>
      </c>
      <c r="G315" s="1050">
        <f t="shared" si="91"/>
        <v>270.40000000001936</v>
      </c>
      <c r="H315" s="1051">
        <f t="shared" si="99"/>
        <v>230.53333333332813</v>
      </c>
      <c r="I315" s="1051">
        <f t="shared" si="99"/>
        <v>244.40000000001567</v>
      </c>
      <c r="J315" s="1051">
        <f t="shared" si="99"/>
        <v>253.0666666666719</v>
      </c>
      <c r="K315" s="1052">
        <f t="shared" si="99"/>
        <v>213.20000000001565</v>
      </c>
      <c r="L315" s="1052">
        <f t="shared" si="99"/>
        <v>227.0666666666562</v>
      </c>
      <c r="M315" s="1052">
        <f t="shared" si="99"/>
        <v>235.73333333332144</v>
      </c>
      <c r="N315" s="1053">
        <f t="shared" si="99"/>
        <v>156.0</v>
      </c>
      <c r="O315" s="1053">
        <f t="shared" si="99"/>
        <v>169.86666666668754</v>
      </c>
      <c r="P315" s="1053">
        <f t="shared" si="99"/>
        <v>178.5333333333438</v>
      </c>
      <c r="Q315" s="1054">
        <f t="shared" si="99"/>
        <v>147.33333333334377</v>
      </c>
      <c r="R315" s="1054">
        <f t="shared" si="94"/>
        <v>161.19999999998433</v>
      </c>
      <c r="S315" s="1054">
        <f t="shared" si="94"/>
        <v>169.86666666668754</v>
      </c>
      <c r="T315" s="1055">
        <f t="shared" si="94"/>
        <v>138.66666666668755</v>
      </c>
      <c r="U315" s="1055">
        <f t="shared" si="100"/>
        <v>152.53333333332813</v>
      </c>
      <c r="V315" s="1055">
        <f t="shared" si="100"/>
        <v>161.19999999998433</v>
      </c>
      <c r="W315" s="1056">
        <f t="shared" si="100"/>
        <v>129.99999999998434</v>
      </c>
      <c r="X315" s="1056">
        <f t="shared" si="100"/>
        <v>143.8666666666719</v>
      </c>
      <c r="Y315" s="1056">
        <f t="shared" si="95"/>
        <v>152.53333333332813</v>
      </c>
      <c r="Z315" s="1057">
        <f t="shared" si="95"/>
        <v>121.33333333332811</v>
      </c>
      <c r="AA315" s="1057">
        <f t="shared" si="95"/>
        <v>135.20000000001565</v>
      </c>
      <c r="AB315" s="1057">
        <f t="shared" si="95"/>
        <v>143.8666666666719</v>
      </c>
      <c r="AC315" s="1058">
        <f t="shared" si="95"/>
        <v>112.66666666667189</v>
      </c>
      <c r="AD315" s="1058">
        <f t="shared" si="95"/>
        <v>126.53333333331244</v>
      </c>
      <c r="AE315" s="1058">
        <f t="shared" si="95"/>
        <v>135.20000000001565</v>
      </c>
      <c r="AF315" s="1059">
        <f t="shared" si="95"/>
        <v>104.00000000001567</v>
      </c>
      <c r="AG315" s="1059">
        <f t="shared" si="95"/>
        <v>117.86666666665622</v>
      </c>
      <c r="AH315" s="1059">
        <f t="shared" si="95"/>
        <v>126.53333333331244</v>
      </c>
      <c r="AI315" s="1060">
        <f t="shared" si="95"/>
        <v>95.33333333331935</v>
      </c>
      <c r="AJ315" s="1060">
        <f t="shared" si="93"/>
        <v>109.2</v>
      </c>
      <c r="AK315" s="1060">
        <f t="shared" si="93"/>
        <v>117.86666666665622</v>
      </c>
    </row>
    <row r="316" spans="8:8" ht="15.75" customHeight="1">
      <c r="D316" s="1049">
        <f t="shared" si="82"/>
        <v>0.8694444444445067</v>
      </c>
      <c r="E316" s="1050">
        <f t="shared" si="80"/>
        <v>248.66111111112892</v>
      </c>
      <c r="F316" s="1050">
        <f t="shared" si="91"/>
        <v>262.572222222241</v>
      </c>
      <c r="G316" s="1050">
        <f t="shared" si="91"/>
        <v>271.2666666666861</v>
      </c>
      <c r="H316" s="1051">
        <f t="shared" si="99"/>
        <v>231.27222222221712</v>
      </c>
      <c r="I316" s="1051">
        <f t="shared" si="99"/>
        <v>245.18333333334866</v>
      </c>
      <c r="J316" s="1051">
        <f t="shared" si="99"/>
        <v>253.8777777777829</v>
      </c>
      <c r="K316" s="1052">
        <f t="shared" si="99"/>
        <v>213.88333333334867</v>
      </c>
      <c r="L316" s="1052">
        <f t="shared" si="99"/>
        <v>227.79444444443422</v>
      </c>
      <c r="M316" s="1052">
        <f t="shared" si="99"/>
        <v>236.48888888887743</v>
      </c>
      <c r="N316" s="1053">
        <f t="shared" si="99"/>
        <v>156.5</v>
      </c>
      <c r="O316" s="1053">
        <f t="shared" si="99"/>
        <v>170.41111111113156</v>
      </c>
      <c r="P316" s="1053">
        <f t="shared" si="99"/>
        <v>179.1055555555658</v>
      </c>
      <c r="Q316" s="1054">
        <f t="shared" si="99"/>
        <v>147.80555555556577</v>
      </c>
      <c r="R316" s="1054">
        <f t="shared" si="94"/>
        <v>161.71666666665132</v>
      </c>
      <c r="S316" s="1054">
        <f t="shared" si="94"/>
        <v>170.41111111113156</v>
      </c>
      <c r="T316" s="1055">
        <f t="shared" si="94"/>
        <v>139.11111111113155</v>
      </c>
      <c r="U316" s="1055">
        <f t="shared" si="100"/>
        <v>153.02222222221712</v>
      </c>
      <c r="V316" s="1055">
        <f t="shared" si="100"/>
        <v>161.71666666665132</v>
      </c>
      <c r="W316" s="1056">
        <f t="shared" si="100"/>
        <v>130.41666666665134</v>
      </c>
      <c r="X316" s="1056">
        <f t="shared" si="100"/>
        <v>144.3277777777829</v>
      </c>
      <c r="Y316" s="1056">
        <f t="shared" si="95"/>
        <v>153.02222222221712</v>
      </c>
      <c r="Z316" s="1057">
        <f t="shared" si="95"/>
        <v>121.72222222221711</v>
      </c>
      <c r="AA316" s="1057">
        <f t="shared" si="95"/>
        <v>135.63333333334867</v>
      </c>
      <c r="AB316" s="1057">
        <f t="shared" si="95"/>
        <v>144.3277777777829</v>
      </c>
      <c r="AC316" s="1058">
        <f t="shared" si="95"/>
        <v>113.02777777778289</v>
      </c>
      <c r="AD316" s="1058">
        <f t="shared" si="95"/>
        <v>126.93888888886845</v>
      </c>
      <c r="AE316" s="1058">
        <f t="shared" si="95"/>
        <v>135.63333333334867</v>
      </c>
      <c r="AF316" s="1059">
        <f t="shared" si="95"/>
        <v>104.33333333334868</v>
      </c>
      <c r="AG316" s="1059">
        <f t="shared" si="95"/>
        <v>118.24444444443422</v>
      </c>
      <c r="AH316" s="1059">
        <f t="shared" si="95"/>
        <v>126.93888888886845</v>
      </c>
      <c r="AI316" s="1060">
        <f t="shared" si="95"/>
        <v>95.63888888887494</v>
      </c>
      <c r="AJ316" s="1060">
        <f t="shared" si="93"/>
        <v>109.55000000000001</v>
      </c>
      <c r="AK316" s="1060">
        <f t="shared" si="93"/>
        <v>118.24444444443422</v>
      </c>
    </row>
    <row r="317" spans="8:8" ht="15.75" customHeight="1">
      <c r="D317" s="1049">
        <f t="shared" si="82"/>
        <v>0.8722222222222847</v>
      </c>
      <c r="E317" s="1050">
        <f t="shared" si="80"/>
        <v>249.45555555557343</v>
      </c>
      <c r="F317" s="1050">
        <f t="shared" si="91"/>
        <v>263.41111111112997</v>
      </c>
      <c r="G317" s="1050">
        <f t="shared" si="91"/>
        <v>272.1333333333528</v>
      </c>
      <c r="H317" s="1051">
        <f t="shared" si="99"/>
        <v>232.01111111110612</v>
      </c>
      <c r="I317" s="1051">
        <f t="shared" si="99"/>
        <v>245.96666666668168</v>
      </c>
      <c r="J317" s="1051">
        <f t="shared" si="99"/>
        <v>254.6888888888939</v>
      </c>
      <c r="K317" s="1052">
        <f t="shared" si="99"/>
        <v>214.56666666668167</v>
      </c>
      <c r="L317" s="1052">
        <f t="shared" si="99"/>
        <v>228.5222222222122</v>
      </c>
      <c r="M317" s="1052">
        <f t="shared" si="99"/>
        <v>237.24444444443344</v>
      </c>
      <c r="N317" s="1053">
        <f t="shared" si="99"/>
        <v>157.0</v>
      </c>
      <c r="O317" s="1053">
        <f t="shared" si="99"/>
        <v>170.95555555557556</v>
      </c>
      <c r="P317" s="1053">
        <f t="shared" si="99"/>
        <v>179.67777777778778</v>
      </c>
      <c r="Q317" s="1054">
        <f t="shared" si="99"/>
        <v>148.27777777778778</v>
      </c>
      <c r="R317" s="1054">
        <f t="shared" si="94"/>
        <v>162.2333333333183</v>
      </c>
      <c r="S317" s="1054">
        <f t="shared" si="94"/>
        <v>170.95555555557556</v>
      </c>
      <c r="T317" s="1055">
        <f t="shared" si="94"/>
        <v>139.55555555557555</v>
      </c>
      <c r="U317" s="1055">
        <f t="shared" si="100"/>
        <v>153.51111111110612</v>
      </c>
      <c r="V317" s="1055">
        <f t="shared" si="100"/>
        <v>162.2333333333183</v>
      </c>
      <c r="W317" s="1056">
        <f t="shared" si="100"/>
        <v>130.83333333331834</v>
      </c>
      <c r="X317" s="1056">
        <f t="shared" si="100"/>
        <v>144.7888888888939</v>
      </c>
      <c r="Y317" s="1056">
        <f t="shared" si="95"/>
        <v>153.51111111110612</v>
      </c>
      <c r="Z317" s="1057">
        <f t="shared" si="95"/>
        <v>122.11111111110611</v>
      </c>
      <c r="AA317" s="1057">
        <f t="shared" si="95"/>
        <v>136.06666666668167</v>
      </c>
      <c r="AB317" s="1057">
        <f t="shared" si="95"/>
        <v>144.7888888888939</v>
      </c>
      <c r="AC317" s="1058">
        <f t="shared" si="95"/>
        <v>113.38888888889389</v>
      </c>
      <c r="AD317" s="1058">
        <f t="shared" si="95"/>
        <v>127.34444444442445</v>
      </c>
      <c r="AE317" s="1058">
        <f t="shared" si="95"/>
        <v>136.06666666668167</v>
      </c>
      <c r="AF317" s="1059">
        <f t="shared" si="95"/>
        <v>104.66666666668168</v>
      </c>
      <c r="AG317" s="1059">
        <f t="shared" si="95"/>
        <v>118.62222222221222</v>
      </c>
      <c r="AH317" s="1059">
        <f t="shared" si="95"/>
        <v>127.34444444442445</v>
      </c>
      <c r="AI317" s="1060">
        <f t="shared" si="95"/>
        <v>95.94444444443045</v>
      </c>
      <c r="AJ317" s="1060">
        <f t="shared" si="93"/>
        <v>109.9</v>
      </c>
      <c r="AK317" s="1060">
        <f t="shared" si="93"/>
        <v>118.62222222221222</v>
      </c>
    </row>
    <row r="318" spans="8:8" ht="15.75" customHeight="1">
      <c r="D318" s="1049">
        <f t="shared" si="82"/>
        <v>0.8750000000000627</v>
      </c>
      <c r="E318" s="1063">
        <f>E$363*D318+0.01</f>
        <v>250.26000000001798</v>
      </c>
      <c r="F318" s="1063">
        <f>F$363*$D318+0.01</f>
        <v>264.260000000019</v>
      </c>
      <c r="G318" s="1050">
        <f t="shared" si="91"/>
        <v>273.00000000001955</v>
      </c>
      <c r="H318" s="1051">
        <f t="shared" si="99"/>
        <v>232.7499999999951</v>
      </c>
      <c r="I318" s="1051">
        <f t="shared" si="99"/>
        <v>246.75000000001467</v>
      </c>
      <c r="J318" s="1051">
        <f t="shared" si="99"/>
        <v>255.50000000000492</v>
      </c>
      <c r="K318" s="1052">
        <f t="shared" si="99"/>
        <v>215.25000000001467</v>
      </c>
      <c r="L318" s="1052">
        <f t="shared" si="99"/>
        <v>229.24999999999022</v>
      </c>
      <c r="M318" s="1052">
        <f t="shared" si="99"/>
        <v>237.99999999998943</v>
      </c>
      <c r="N318" s="1053">
        <f t="shared" si="99"/>
        <v>157.5</v>
      </c>
      <c r="O318" s="1053">
        <f t="shared" si="99"/>
        <v>171.50000000001955</v>
      </c>
      <c r="P318" s="1053">
        <f t="shared" si="99"/>
        <v>180.25000000000978</v>
      </c>
      <c r="Q318" s="1054">
        <f t="shared" si="99"/>
        <v>148.75000000000978</v>
      </c>
      <c r="R318" s="1054">
        <f t="shared" si="94"/>
        <v>162.7499999999853</v>
      </c>
      <c r="S318" s="1054">
        <f t="shared" si="94"/>
        <v>171.50000000001955</v>
      </c>
      <c r="T318" s="1055">
        <f t="shared" si="94"/>
        <v>140.00000000001955</v>
      </c>
      <c r="U318" s="1055">
        <f t="shared" si="100"/>
        <v>153.9999999999951</v>
      </c>
      <c r="V318" s="1055">
        <f t="shared" si="100"/>
        <v>162.7499999999853</v>
      </c>
      <c r="W318" s="1056">
        <f t="shared" si="100"/>
        <v>131.24999999998533</v>
      </c>
      <c r="X318" s="1056">
        <f t="shared" si="100"/>
        <v>145.2500000000049</v>
      </c>
      <c r="Y318" s="1056">
        <f t="shared" si="95"/>
        <v>153.9999999999951</v>
      </c>
      <c r="Z318" s="1057">
        <f t="shared" si="95"/>
        <v>122.49999999999511</v>
      </c>
      <c r="AA318" s="1057">
        <f t="shared" si="95"/>
        <v>136.50000000001467</v>
      </c>
      <c r="AB318" s="1057">
        <f t="shared" si="95"/>
        <v>145.2500000000049</v>
      </c>
      <c r="AC318" s="1058">
        <f t="shared" si="95"/>
        <v>113.75000000000489</v>
      </c>
      <c r="AD318" s="1058">
        <f t="shared" si="95"/>
        <v>127.74999999998046</v>
      </c>
      <c r="AE318" s="1058">
        <f t="shared" si="95"/>
        <v>136.50000000001467</v>
      </c>
      <c r="AF318" s="1059">
        <f t="shared" si="95"/>
        <v>105.00000000001467</v>
      </c>
      <c r="AG318" s="1059">
        <f t="shared" si="95"/>
        <v>118.99999999999022</v>
      </c>
      <c r="AH318" s="1059">
        <f t="shared" si="95"/>
        <v>127.74999999998046</v>
      </c>
      <c r="AI318" s="1060">
        <f t="shared" si="95"/>
        <v>96.24999999998604</v>
      </c>
      <c r="AJ318" s="1060">
        <f t="shared" si="93"/>
        <v>110.25</v>
      </c>
      <c r="AK318" s="1060">
        <f t="shared" si="93"/>
        <v>118.99999999999022</v>
      </c>
    </row>
    <row r="319" spans="8:8" ht="15.75" customHeight="1">
      <c r="D319" s="1049">
        <f t="shared" si="82"/>
        <v>0.8777777777778407</v>
      </c>
      <c r="E319" s="1050">
        <f t="shared" si="80"/>
        <v>251.04444444446244</v>
      </c>
      <c r="F319" s="1050">
        <f t="shared" si="91"/>
        <v>265.0888888889079</v>
      </c>
      <c r="G319" s="1050">
        <f t="shared" si="91"/>
        <v>273.8666666666863</v>
      </c>
      <c r="H319" s="1051">
        <f t="shared" si="99"/>
        <v>233.48888888888413</v>
      </c>
      <c r="I319" s="1051">
        <f t="shared" si="99"/>
        <v>247.53333333334766</v>
      </c>
      <c r="J319" s="1051">
        <f t="shared" si="99"/>
        <v>256.31111111111585</v>
      </c>
      <c r="K319" s="1052">
        <f t="shared" si="99"/>
        <v>215.93333333334766</v>
      </c>
      <c r="L319" s="1052">
        <f t="shared" si="99"/>
        <v>229.9777777777682</v>
      </c>
      <c r="M319" s="1052">
        <f t="shared" si="99"/>
        <v>238.75555555554544</v>
      </c>
      <c r="N319" s="1053">
        <f t="shared" si="99"/>
        <v>158.0</v>
      </c>
      <c r="O319" s="1053">
        <f t="shared" si="99"/>
        <v>172.04444444446355</v>
      </c>
      <c r="P319" s="1053">
        <f t="shared" si="99"/>
        <v>180.82222222223177</v>
      </c>
      <c r="Q319" s="1054">
        <f t="shared" si="99"/>
        <v>149.22222222223178</v>
      </c>
      <c r="R319" s="1054">
        <f t="shared" si="101" ref="R319:T334">R320-(R$363/360)</f>
        <v>163.26666666665233</v>
      </c>
      <c r="S319" s="1054">
        <f t="shared" si="101"/>
        <v>172.04444444446355</v>
      </c>
      <c r="T319" s="1055">
        <f t="shared" si="101"/>
        <v>140.44444444446356</v>
      </c>
      <c r="U319" s="1055">
        <f t="shared" si="100"/>
        <v>154.48888888888413</v>
      </c>
      <c r="V319" s="1055">
        <f t="shared" si="100"/>
        <v>163.26666666665233</v>
      </c>
      <c r="W319" s="1056">
        <f t="shared" si="100"/>
        <v>131.66666666665233</v>
      </c>
      <c r="X319" s="1056">
        <f t="shared" si="100"/>
        <v>145.71111111111588</v>
      </c>
      <c r="Y319" s="1056">
        <f t="shared" si="95"/>
        <v>154.48888888888413</v>
      </c>
      <c r="Z319" s="1057">
        <f t="shared" si="95"/>
        <v>122.88888888888411</v>
      </c>
      <c r="AA319" s="1057">
        <f t="shared" si="95"/>
        <v>136.93333333334766</v>
      </c>
      <c r="AB319" s="1057">
        <f t="shared" si="95"/>
        <v>145.71111111111588</v>
      </c>
      <c r="AC319" s="1058">
        <f t="shared" si="95"/>
        <v>114.11111111111589</v>
      </c>
      <c r="AD319" s="1058">
        <f t="shared" si="95"/>
        <v>128.15555555553644</v>
      </c>
      <c r="AE319" s="1058">
        <f t="shared" si="95"/>
        <v>136.93333333334766</v>
      </c>
      <c r="AF319" s="1059">
        <f t="shared" si="95"/>
        <v>105.33333333334767</v>
      </c>
      <c r="AG319" s="1059">
        <f t="shared" si="95"/>
        <v>119.37777777776822</v>
      </c>
      <c r="AH319" s="1059">
        <f t="shared" si="95"/>
        <v>128.15555555553644</v>
      </c>
      <c r="AI319" s="1060">
        <f t="shared" si="95"/>
        <v>96.55555555554155</v>
      </c>
      <c r="AJ319" s="1060">
        <f t="shared" si="93"/>
        <v>110.60000000000001</v>
      </c>
      <c r="AK319" s="1060">
        <f t="shared" si="93"/>
        <v>119.37777777776822</v>
      </c>
    </row>
    <row r="320" spans="8:8" ht="15.75" customHeight="1">
      <c r="D320" s="1049">
        <f t="shared" si="82"/>
        <v>0.8805555555556188</v>
      </c>
      <c r="E320" s="1050">
        <f t="shared" si="80"/>
        <v>251.83888888890698</v>
      </c>
      <c r="F320" s="1050">
        <f t="shared" si="91"/>
        <v>265.9277777777969</v>
      </c>
      <c r="G320" s="1050">
        <f t="shared" si="91"/>
        <v>274.7333333333531</v>
      </c>
      <c r="H320" s="1051">
        <f t="shared" si="99"/>
        <v>234.22777777777313</v>
      </c>
      <c r="I320" s="1051">
        <f t="shared" si="99"/>
        <v>248.31666666668067</v>
      </c>
      <c r="J320" s="1051">
        <f t="shared" si="99"/>
        <v>257.12222222222687</v>
      </c>
      <c r="K320" s="1052">
        <f t="shared" si="99"/>
        <v>216.61666666668066</v>
      </c>
      <c r="L320" s="1052">
        <f t="shared" si="99"/>
        <v>230.7055555555462</v>
      </c>
      <c r="M320" s="1052">
        <f t="shared" si="99"/>
        <v>239.51111111110143</v>
      </c>
      <c r="N320" s="1053">
        <f t="shared" si="99"/>
        <v>158.5</v>
      </c>
      <c r="O320" s="1053">
        <f t="shared" si="99"/>
        <v>172.58888888890755</v>
      </c>
      <c r="P320" s="1053">
        <f t="shared" si="99"/>
        <v>181.39444444445377</v>
      </c>
      <c r="Q320" s="1054">
        <f t="shared" si="99"/>
        <v>149.69444444445378</v>
      </c>
      <c r="R320" s="1054">
        <f t="shared" si="101"/>
        <v>163.78333333331932</v>
      </c>
      <c r="S320" s="1054">
        <f t="shared" si="101"/>
        <v>172.58888888890755</v>
      </c>
      <c r="T320" s="1055">
        <f t="shared" si="101"/>
        <v>140.88888888890753</v>
      </c>
      <c r="U320" s="1055">
        <f t="shared" si="100"/>
        <v>154.97777777777313</v>
      </c>
      <c r="V320" s="1055">
        <f t="shared" si="100"/>
        <v>163.78333333331932</v>
      </c>
      <c r="W320" s="1056">
        <f t="shared" si="100"/>
        <v>132.08333333331933</v>
      </c>
      <c r="X320" s="1056">
        <f t="shared" si="100"/>
        <v>146.17222222222688</v>
      </c>
      <c r="Y320" s="1056">
        <f t="shared" si="95"/>
        <v>154.97777777777313</v>
      </c>
      <c r="Z320" s="1057">
        <f t="shared" si="95"/>
        <v>123.27777777777311</v>
      </c>
      <c r="AA320" s="1057">
        <f t="shared" si="95"/>
        <v>137.36666666668066</v>
      </c>
      <c r="AB320" s="1057">
        <f t="shared" si="95"/>
        <v>146.17222222222688</v>
      </c>
      <c r="AC320" s="1058">
        <f t="shared" si="95"/>
        <v>114.47222222222689</v>
      </c>
      <c r="AD320" s="1058">
        <f t="shared" si="95"/>
        <v>128.56111111109243</v>
      </c>
      <c r="AE320" s="1058">
        <f t="shared" si="95"/>
        <v>137.36666666668066</v>
      </c>
      <c r="AF320" s="1059">
        <f t="shared" si="95"/>
        <v>105.66666666668067</v>
      </c>
      <c r="AG320" s="1059">
        <f t="shared" si="95"/>
        <v>119.75555555554622</v>
      </c>
      <c r="AH320" s="1059">
        <f t="shared" si="95"/>
        <v>128.56111111109243</v>
      </c>
      <c r="AI320" s="1060">
        <f t="shared" si="95"/>
        <v>96.86111111109714</v>
      </c>
      <c r="AJ320" s="1060">
        <f t="shared" si="93"/>
        <v>110.95</v>
      </c>
      <c r="AK320" s="1060">
        <f t="shared" si="93"/>
        <v>119.75555555554622</v>
      </c>
    </row>
    <row r="321" spans="8:8" ht="15.75" customHeight="1">
      <c r="D321" s="1049">
        <f t="shared" si="82"/>
        <v>0.8833333333333968</v>
      </c>
      <c r="E321" s="1050">
        <f t="shared" si="80"/>
        <v>252.6333333333515</v>
      </c>
      <c r="F321" s="1050">
        <f t="shared" si="91"/>
        <v>266.76666666668586</v>
      </c>
      <c r="G321" s="1050">
        <f t="shared" si="91"/>
        <v>275.6000000000198</v>
      </c>
      <c r="H321" s="1051">
        <f t="shared" si="99"/>
        <v>234.96666666666212</v>
      </c>
      <c r="I321" s="1051">
        <f t="shared" si="99"/>
        <v>249.10000000001367</v>
      </c>
      <c r="J321" s="1051">
        <f t="shared" si="99"/>
        <v>257.9333333333379</v>
      </c>
      <c r="K321" s="1052">
        <f t="shared" si="99"/>
        <v>217.30000000001365</v>
      </c>
      <c r="L321" s="1052">
        <f t="shared" si="99"/>
        <v>231.4333333333242</v>
      </c>
      <c r="M321" s="1052">
        <f t="shared" si="99"/>
        <v>240.26666666665744</v>
      </c>
      <c r="N321" s="1053">
        <f t="shared" si="99"/>
        <v>159.0</v>
      </c>
      <c r="O321" s="1053">
        <f t="shared" si="99"/>
        <v>173.13333333335154</v>
      </c>
      <c r="P321" s="1053">
        <f t="shared" si="99"/>
        <v>181.96666666667576</v>
      </c>
      <c r="Q321" s="1054">
        <f t="shared" si="99"/>
        <v>150.16666666667578</v>
      </c>
      <c r="R321" s="1054">
        <f t="shared" si="101"/>
        <v>164.2999999999863</v>
      </c>
      <c r="S321" s="1054">
        <f t="shared" si="101"/>
        <v>173.13333333335154</v>
      </c>
      <c r="T321" s="1055">
        <f t="shared" si="101"/>
        <v>141.33333333335153</v>
      </c>
      <c r="U321" s="1055">
        <f t="shared" si="100"/>
        <v>155.46666666666212</v>
      </c>
      <c r="V321" s="1055">
        <f t="shared" si="100"/>
        <v>164.2999999999863</v>
      </c>
      <c r="W321" s="1056">
        <f t="shared" si="100"/>
        <v>132.49999999998633</v>
      </c>
      <c r="X321" s="1056">
        <f t="shared" si="100"/>
        <v>146.6333333333379</v>
      </c>
      <c r="Y321" s="1056">
        <f t="shared" si="95"/>
        <v>155.46666666666212</v>
      </c>
      <c r="Z321" s="1057">
        <f t="shared" si="95"/>
        <v>123.66666666666211</v>
      </c>
      <c r="AA321" s="1057">
        <f t="shared" si="95"/>
        <v>137.80000000001365</v>
      </c>
      <c r="AB321" s="1057">
        <f t="shared" si="95"/>
        <v>146.6333333333379</v>
      </c>
      <c r="AC321" s="1058">
        <f t="shared" si="95"/>
        <v>114.83333333333789</v>
      </c>
      <c r="AD321" s="1058">
        <f t="shared" si="95"/>
        <v>128.96666666664842</v>
      </c>
      <c r="AE321" s="1058">
        <f t="shared" si="95"/>
        <v>137.80000000001365</v>
      </c>
      <c r="AF321" s="1059">
        <f t="shared" si="95"/>
        <v>106.00000000001367</v>
      </c>
      <c r="AG321" s="1059">
        <f t="shared" si="95"/>
        <v>120.13333333332422</v>
      </c>
      <c r="AH321" s="1059">
        <f t="shared" si="95"/>
        <v>128.96666666664842</v>
      </c>
      <c r="AI321" s="1060">
        <f t="shared" si="95"/>
        <v>97.16666666665274</v>
      </c>
      <c r="AJ321" s="1060">
        <f t="shared" si="93"/>
        <v>111.30000000000001</v>
      </c>
      <c r="AK321" s="1060">
        <f t="shared" si="93"/>
        <v>120.13333333332422</v>
      </c>
    </row>
    <row r="322" spans="8:8" ht="15.75" customHeight="1">
      <c r="D322" s="1049">
        <f t="shared" si="82"/>
        <v>0.8861111111111748</v>
      </c>
      <c r="E322" s="1050">
        <f t="shared" si="80"/>
        <v>253.427777777796</v>
      </c>
      <c r="F322" s="1050">
        <f t="shared" si="91"/>
        <v>267.60555555557477</v>
      </c>
      <c r="G322" s="1050">
        <f t="shared" si="91"/>
        <v>276.46666666668654</v>
      </c>
      <c r="H322" s="1051">
        <f t="shared" si="99"/>
        <v>235.70555555555111</v>
      </c>
      <c r="I322" s="1051">
        <f t="shared" si="99"/>
        <v>249.88333333334666</v>
      </c>
      <c r="J322" s="1051">
        <f t="shared" si="99"/>
        <v>258.74444444444885</v>
      </c>
      <c r="K322" s="1052">
        <f t="shared" si="99"/>
        <v>217.98333333334665</v>
      </c>
      <c r="L322" s="1052">
        <f t="shared" si="99"/>
        <v>232.1611111111022</v>
      </c>
      <c r="M322" s="1052">
        <f t="shared" si="99"/>
        <v>241.02222222221343</v>
      </c>
      <c r="N322" s="1053">
        <f t="shared" si="99"/>
        <v>159.5</v>
      </c>
      <c r="O322" s="1053">
        <f t="shared" si="99"/>
        <v>173.67777777779554</v>
      </c>
      <c r="P322" s="1053">
        <f t="shared" si="99"/>
        <v>182.5388888888978</v>
      </c>
      <c r="Q322" s="1054">
        <f t="shared" si="99"/>
        <v>150.63888888889778</v>
      </c>
      <c r="R322" s="1054">
        <f t="shared" si="101"/>
        <v>164.81666666665333</v>
      </c>
      <c r="S322" s="1054">
        <f t="shared" si="101"/>
        <v>173.67777777779554</v>
      </c>
      <c r="T322" s="1055">
        <f t="shared" si="101"/>
        <v>141.77777777779554</v>
      </c>
      <c r="U322" s="1055">
        <f t="shared" si="100"/>
        <v>155.95555555555111</v>
      </c>
      <c r="V322" s="1055">
        <f t="shared" si="100"/>
        <v>164.81666666665333</v>
      </c>
      <c r="W322" s="1056">
        <f t="shared" si="100"/>
        <v>132.91666666665336</v>
      </c>
      <c r="X322" s="1056">
        <f t="shared" si="100"/>
        <v>147.0944444444489</v>
      </c>
      <c r="Y322" s="1056">
        <f t="shared" si="95"/>
        <v>155.95555555555111</v>
      </c>
      <c r="Z322" s="1057">
        <f t="shared" si="95"/>
        <v>124.05555555555111</v>
      </c>
      <c r="AA322" s="1057">
        <f t="shared" si="95"/>
        <v>138.23333333334665</v>
      </c>
      <c r="AB322" s="1057">
        <f t="shared" si="95"/>
        <v>147.0944444444489</v>
      </c>
      <c r="AC322" s="1058">
        <f t="shared" si="95"/>
        <v>115.19444444444889</v>
      </c>
      <c r="AD322" s="1058">
        <f t="shared" si="95"/>
        <v>129.37222222220444</v>
      </c>
      <c r="AE322" s="1058">
        <f t="shared" si="95"/>
        <v>138.23333333334665</v>
      </c>
      <c r="AF322" s="1059">
        <f t="shared" si="95"/>
        <v>106.33333333334667</v>
      </c>
      <c r="AG322" s="1059">
        <f t="shared" si="95"/>
        <v>120.51111111110222</v>
      </c>
      <c r="AH322" s="1059">
        <f t="shared" si="95"/>
        <v>129.37222222220444</v>
      </c>
      <c r="AI322" s="1060">
        <f t="shared" si="95"/>
        <v>97.47222222220825</v>
      </c>
      <c r="AJ322" s="1060">
        <f t="shared" si="93"/>
        <v>111.65</v>
      </c>
      <c r="AK322" s="1060">
        <f t="shared" si="93"/>
        <v>120.51111111110222</v>
      </c>
    </row>
    <row r="323" spans="8:8" ht="15.75" customHeight="1">
      <c r="D323" s="1049">
        <f t="shared" si="82"/>
        <v>0.8888888888889528</v>
      </c>
      <c r="E323" s="1050">
        <f t="shared" si="102" ref="E323:E361">E$363*D323</f>
        <v>254.2222222222405</v>
      </c>
      <c r="F323" s="1050">
        <f t="shared" si="103" ref="F323:G361">F$363*$D323</f>
        <v>268.4444444444637</v>
      </c>
      <c r="G323" s="1050">
        <f t="shared" si="103"/>
        <v>277.33333333335327</v>
      </c>
      <c r="H323" s="1051">
        <f t="shared" si="99"/>
        <v>236.4444444444401</v>
      </c>
      <c r="I323" s="1051">
        <f t="shared" si="99"/>
        <v>250.66666666667967</v>
      </c>
      <c r="J323" s="1051">
        <f t="shared" si="99"/>
        <v>259.55555555555986</v>
      </c>
      <c r="K323" s="1052">
        <f t="shared" si="99"/>
        <v>218.66666666667967</v>
      </c>
      <c r="L323" s="1052">
        <f t="shared" si="99"/>
        <v>232.88888888888022</v>
      </c>
      <c r="M323" s="1052">
        <f t="shared" si="99"/>
        <v>241.77777777776944</v>
      </c>
      <c r="N323" s="1053">
        <f t="shared" si="99"/>
        <v>160.0</v>
      </c>
      <c r="O323" s="1053">
        <f t="shared" si="99"/>
        <v>174.22222222223954</v>
      </c>
      <c r="P323" s="1053">
        <f t="shared" si="99"/>
        <v>183.11111111111978</v>
      </c>
      <c r="Q323" s="1054">
        <f t="shared" si="99"/>
        <v>151.11111111111978</v>
      </c>
      <c r="R323" s="1054">
        <f t="shared" si="101"/>
        <v>165.33333333332033</v>
      </c>
      <c r="S323" s="1054">
        <f t="shared" si="101"/>
        <v>174.22222222223954</v>
      </c>
      <c r="T323" s="1055">
        <f t="shared" si="101"/>
        <v>142.22222222223954</v>
      </c>
      <c r="U323" s="1055">
        <f t="shared" si="100"/>
        <v>156.4444444444401</v>
      </c>
      <c r="V323" s="1055">
        <f t="shared" si="100"/>
        <v>165.33333333332033</v>
      </c>
      <c r="W323" s="1056">
        <f t="shared" si="100"/>
        <v>133.33333333332035</v>
      </c>
      <c r="X323" s="1056">
        <f t="shared" si="100"/>
        <v>147.5555555555599</v>
      </c>
      <c r="Y323" s="1056">
        <f t="shared" si="95"/>
        <v>156.4444444444401</v>
      </c>
      <c r="Z323" s="1057">
        <f t="shared" si="95"/>
        <v>124.44444444444011</v>
      </c>
      <c r="AA323" s="1057">
        <f t="shared" si="95"/>
        <v>138.66666666667967</v>
      </c>
      <c r="AB323" s="1057">
        <f t="shared" si="95"/>
        <v>147.5555555555599</v>
      </c>
      <c r="AC323" s="1058">
        <f t="shared" si="95"/>
        <v>115.55555555555989</v>
      </c>
      <c r="AD323" s="1058">
        <f t="shared" si="95"/>
        <v>129.77777777776043</v>
      </c>
      <c r="AE323" s="1058">
        <f t="shared" si="95"/>
        <v>138.66666666667967</v>
      </c>
      <c r="AF323" s="1059">
        <f t="shared" si="95"/>
        <v>106.66666666667967</v>
      </c>
      <c r="AG323" s="1059">
        <f t="shared" si="95"/>
        <v>120.88888888888022</v>
      </c>
      <c r="AH323" s="1059">
        <f t="shared" si="95"/>
        <v>129.77777777776043</v>
      </c>
      <c r="AI323" s="1060">
        <f t="shared" si="95"/>
        <v>97.77777777776384</v>
      </c>
      <c r="AJ323" s="1060">
        <f t="shared" si="93"/>
        <v>112.0</v>
      </c>
      <c r="AK323" s="1060">
        <f t="shared" si="93"/>
        <v>120.88888888888022</v>
      </c>
    </row>
    <row r="324" spans="8:8" ht="15.75" customHeight="1">
      <c r="D324" s="1049">
        <f t="shared" si="82"/>
        <v>0.8916666666667308</v>
      </c>
      <c r="E324" s="1050">
        <f t="shared" si="102"/>
        <v>255.016666666685</v>
      </c>
      <c r="F324" s="1050">
        <f t="shared" si="103"/>
        <v>269.2833333333527</v>
      </c>
      <c r="G324" s="1050">
        <f t="shared" si="103"/>
        <v>278.20000000002</v>
      </c>
      <c r="H324" s="1051">
        <f t="shared" si="99"/>
        <v>237.18333333332913</v>
      </c>
      <c r="I324" s="1051">
        <f t="shared" si="99"/>
        <v>251.45000000001266</v>
      </c>
      <c r="J324" s="1051">
        <f t="shared" si="99"/>
        <v>260.3666666666709</v>
      </c>
      <c r="K324" s="1052">
        <f t="shared" si="99"/>
        <v>219.35000000001267</v>
      </c>
      <c r="L324" s="1052">
        <f t="shared" si="99"/>
        <v>233.6166666666582</v>
      </c>
      <c r="M324" s="1052">
        <f t="shared" si="99"/>
        <v>242.53333333332543</v>
      </c>
      <c r="N324" s="1053">
        <f t="shared" si="99"/>
        <v>160.5</v>
      </c>
      <c r="O324" s="1053">
        <f t="shared" si="99"/>
        <v>174.76666666668356</v>
      </c>
      <c r="P324" s="1053">
        <f t="shared" si="99"/>
        <v>183.68333333334178</v>
      </c>
      <c r="Q324" s="1054">
        <f t="shared" si="99"/>
        <v>151.58333333334178</v>
      </c>
      <c r="R324" s="1054">
        <f t="shared" si="101"/>
        <v>165.84999999998732</v>
      </c>
      <c r="S324" s="1054">
        <f t="shared" si="101"/>
        <v>174.76666666668356</v>
      </c>
      <c r="T324" s="1055">
        <f t="shared" si="101"/>
        <v>142.66666666668354</v>
      </c>
      <c r="U324" s="1055">
        <f t="shared" si="100"/>
        <v>156.93333333332913</v>
      </c>
      <c r="V324" s="1055">
        <f t="shared" si="100"/>
        <v>165.84999999998732</v>
      </c>
      <c r="W324" s="1056">
        <f t="shared" si="100"/>
        <v>133.74999999998735</v>
      </c>
      <c r="X324" s="1056">
        <f t="shared" si="100"/>
        <v>148.0166666666709</v>
      </c>
      <c r="Y324" s="1056">
        <f t="shared" si="95"/>
        <v>156.93333333332913</v>
      </c>
      <c r="Z324" s="1057">
        <f t="shared" si="95"/>
        <v>124.83333333332911</v>
      </c>
      <c r="AA324" s="1057">
        <f t="shared" si="95"/>
        <v>139.10000000001267</v>
      </c>
      <c r="AB324" s="1057">
        <f t="shared" si="95"/>
        <v>148.0166666666709</v>
      </c>
      <c r="AC324" s="1058">
        <f t="shared" si="95"/>
        <v>115.91666666667089</v>
      </c>
      <c r="AD324" s="1058">
        <f t="shared" si="95"/>
        <v>130.18333333331643</v>
      </c>
      <c r="AE324" s="1058">
        <f t="shared" si="95"/>
        <v>139.10000000001267</v>
      </c>
      <c r="AF324" s="1059">
        <f t="shared" si="95"/>
        <v>107.00000000001268</v>
      </c>
      <c r="AG324" s="1059">
        <f t="shared" si="95"/>
        <v>121.26666666665822</v>
      </c>
      <c r="AH324" s="1059">
        <f t="shared" si="95"/>
        <v>130.18333333331643</v>
      </c>
      <c r="AI324" s="1060">
        <f t="shared" si="95"/>
        <v>98.08333333331935</v>
      </c>
      <c r="AJ324" s="1060">
        <f t="shared" si="93"/>
        <v>112.35000000000001</v>
      </c>
      <c r="AK324" s="1060">
        <f t="shared" si="93"/>
        <v>121.26666666665822</v>
      </c>
    </row>
    <row r="325" spans="8:8" ht="15.75" customHeight="1">
      <c r="D325" s="1049">
        <f t="shared" si="104" ref="D325:D363">D324+0.2/72</f>
        <v>0.8944444444445088</v>
      </c>
      <c r="E325" s="1050">
        <f t="shared" si="102"/>
        <v>255.81111111112952</v>
      </c>
      <c r="F325" s="1050">
        <f t="shared" si="103"/>
        <v>270.12222222224165</v>
      </c>
      <c r="G325" s="1050">
        <f t="shared" si="103"/>
        <v>279.06666666668673</v>
      </c>
      <c r="H325" s="1051">
        <f t="shared" si="99"/>
        <v>237.92222222221812</v>
      </c>
      <c r="I325" s="1051">
        <f t="shared" si="99"/>
        <v>252.23333333334566</v>
      </c>
      <c r="J325" s="1051">
        <f t="shared" si="99"/>
        <v>261.17777777778184</v>
      </c>
      <c r="K325" s="1052">
        <f t="shared" si="99"/>
        <v>220.03333333334567</v>
      </c>
      <c r="L325" s="1052">
        <f t="shared" si="99"/>
        <v>234.34444444443622</v>
      </c>
      <c r="M325" s="1052">
        <f t="shared" si="99"/>
        <v>243.28888888888144</v>
      </c>
      <c r="N325" s="1053">
        <f t="shared" si="99"/>
        <v>161.0</v>
      </c>
      <c r="O325" s="1053">
        <f t="shared" si="99"/>
        <v>175.31111111112756</v>
      </c>
      <c r="P325" s="1053">
        <f t="shared" si="99"/>
        <v>184.25555555556377</v>
      </c>
      <c r="Q325" s="1054">
        <f t="shared" si="99"/>
        <v>152.05555555556379</v>
      </c>
      <c r="R325" s="1054">
        <f t="shared" si="101"/>
        <v>166.3666666666543</v>
      </c>
      <c r="S325" s="1054">
        <f t="shared" si="101"/>
        <v>175.31111111112756</v>
      </c>
      <c r="T325" s="1055">
        <f t="shared" si="101"/>
        <v>143.11111111112754</v>
      </c>
      <c r="U325" s="1055">
        <f t="shared" si="100"/>
        <v>157.42222222221812</v>
      </c>
      <c r="V325" s="1055">
        <f t="shared" si="100"/>
        <v>166.3666666666543</v>
      </c>
      <c r="W325" s="1056">
        <f t="shared" si="100"/>
        <v>134.16666666665435</v>
      </c>
      <c r="X325" s="1056">
        <f t="shared" si="100"/>
        <v>148.47777777778188</v>
      </c>
      <c r="Y325" s="1056">
        <f t="shared" si="95"/>
        <v>157.42222222221812</v>
      </c>
      <c r="Z325" s="1057">
        <f t="shared" si="95"/>
        <v>125.22222222221811</v>
      </c>
      <c r="AA325" s="1057">
        <f t="shared" si="95"/>
        <v>139.53333333334567</v>
      </c>
      <c r="AB325" s="1057">
        <f t="shared" si="95"/>
        <v>148.47777777778188</v>
      </c>
      <c r="AC325" s="1058">
        <f t="shared" si="95"/>
        <v>116.27777777778189</v>
      </c>
      <c r="AD325" s="1058">
        <f t="shared" si="95"/>
        <v>130.58888888887245</v>
      </c>
      <c r="AE325" s="1058">
        <f t="shared" si="95"/>
        <v>139.53333333334567</v>
      </c>
      <c r="AF325" s="1059">
        <f t="shared" si="95"/>
        <v>107.33333333334568</v>
      </c>
      <c r="AG325" s="1059">
        <f t="shared" si="95"/>
        <v>121.64444444443622</v>
      </c>
      <c r="AH325" s="1059">
        <f t="shared" si="95"/>
        <v>130.58888888887245</v>
      </c>
      <c r="AI325" s="1060">
        <f t="shared" si="95"/>
        <v>98.38888888887494</v>
      </c>
      <c r="AJ325" s="1060">
        <f t="shared" si="93"/>
        <v>112.7</v>
      </c>
      <c r="AK325" s="1060">
        <f t="shared" si="93"/>
        <v>121.64444444443622</v>
      </c>
    </row>
    <row r="326" spans="8:8" ht="15.75" customHeight="1">
      <c r="D326" s="1049">
        <f t="shared" si="104"/>
        <v>0.8972222222222868</v>
      </c>
      <c r="E326" s="1050">
        <f t="shared" si="102"/>
        <v>256.605555555574</v>
      </c>
      <c r="F326" s="1050">
        <f t="shared" si="103"/>
        <v>270.9611111111306</v>
      </c>
      <c r="G326" s="1050">
        <f t="shared" si="103"/>
        <v>279.93333333335346</v>
      </c>
      <c r="H326" s="1051">
        <f t="shared" si="99"/>
        <v>238.66111111110712</v>
      </c>
      <c r="I326" s="1051">
        <f t="shared" si="99"/>
        <v>253.01666666667867</v>
      </c>
      <c r="J326" s="1051">
        <f t="shared" si="99"/>
        <v>261.98888888889286</v>
      </c>
      <c r="K326" s="1052">
        <f t="shared" si="99"/>
        <v>220.71666666667866</v>
      </c>
      <c r="L326" s="1052">
        <f t="shared" si="99"/>
        <v>235.0722222222142</v>
      </c>
      <c r="M326" s="1052">
        <f t="shared" si="99"/>
        <v>244.04444444443743</v>
      </c>
      <c r="N326" s="1053">
        <f t="shared" si="99"/>
        <v>161.5</v>
      </c>
      <c r="O326" s="1053">
        <f t="shared" si="99"/>
        <v>175.85555555557156</v>
      </c>
      <c r="P326" s="1053">
        <f t="shared" si="99"/>
        <v>184.82777777778577</v>
      </c>
      <c r="Q326" s="1054">
        <f t="shared" si="99"/>
        <v>152.52777777778576</v>
      </c>
      <c r="R326" s="1054">
        <f t="shared" si="101"/>
        <v>166.88333333332133</v>
      </c>
      <c r="S326" s="1054">
        <f t="shared" si="101"/>
        <v>175.85555555557156</v>
      </c>
      <c r="T326" s="1055">
        <f t="shared" si="101"/>
        <v>143.55555555557154</v>
      </c>
      <c r="U326" s="1055">
        <f t="shared" si="100"/>
        <v>157.91111111110712</v>
      </c>
      <c r="V326" s="1055">
        <f t="shared" si="100"/>
        <v>166.88333333332133</v>
      </c>
      <c r="W326" s="1056">
        <f t="shared" si="100"/>
        <v>134.58333333332135</v>
      </c>
      <c r="X326" s="1056">
        <f t="shared" si="100"/>
        <v>148.9388888888929</v>
      </c>
      <c r="Y326" s="1056">
        <f t="shared" si="95"/>
        <v>157.91111111110712</v>
      </c>
      <c r="Z326" s="1057">
        <f t="shared" si="95"/>
        <v>125.61111111110712</v>
      </c>
      <c r="AA326" s="1057">
        <f t="shared" si="95"/>
        <v>139.96666666667866</v>
      </c>
      <c r="AB326" s="1057">
        <f t="shared" si="95"/>
        <v>148.9388888888929</v>
      </c>
      <c r="AC326" s="1058">
        <f t="shared" si="95"/>
        <v>116.63888888889288</v>
      </c>
      <c r="AD326" s="1058">
        <f t="shared" si="95"/>
        <v>130.99444444442844</v>
      </c>
      <c r="AE326" s="1058">
        <f t="shared" si="95"/>
        <v>139.96666666667866</v>
      </c>
      <c r="AF326" s="1059">
        <f t="shared" si="95"/>
        <v>107.66666666667867</v>
      </c>
      <c r="AG326" s="1059">
        <f t="shared" si="95"/>
        <v>122.02222222221422</v>
      </c>
      <c r="AH326" s="1059">
        <f t="shared" si="95"/>
        <v>130.99444444442844</v>
      </c>
      <c r="AI326" s="1060">
        <f t="shared" si="95"/>
        <v>98.69444444443045</v>
      </c>
      <c r="AJ326" s="1060">
        <f t="shared" si="93"/>
        <v>113.05000000000001</v>
      </c>
      <c r="AK326" s="1060">
        <f t="shared" si="93"/>
        <v>122.02222222221422</v>
      </c>
    </row>
    <row r="327" spans="8:8" ht="15.75" customHeight="1">
      <c r="D327" s="1049">
        <f t="shared" si="104"/>
        <v>0.9000000000000647</v>
      </c>
      <c r="E327" s="1050">
        <f t="shared" si="102"/>
        <v>257.4000000000185</v>
      </c>
      <c r="F327" s="1050">
        <f t="shared" si="103"/>
        <v>271.80000000001957</v>
      </c>
      <c r="G327" s="1050">
        <f t="shared" si="103"/>
        <v>280.8000000000202</v>
      </c>
      <c r="H327" s="1051">
        <f t="shared" si="99"/>
        <v>239.3999999999961</v>
      </c>
      <c r="I327" s="1051">
        <f t="shared" si="99"/>
        <v>253.80000000001166</v>
      </c>
      <c r="J327" s="1051">
        <f t="shared" si="99"/>
        <v>262.8000000000039</v>
      </c>
      <c r="K327" s="1052">
        <f t="shared" si="99"/>
        <v>221.40000000001166</v>
      </c>
      <c r="L327" s="1052">
        <f t="shared" si="99"/>
        <v>235.79999999999222</v>
      </c>
      <c r="M327" s="1052">
        <f t="shared" si="99"/>
        <v>244.79999999999345</v>
      </c>
      <c r="N327" s="1053">
        <f t="shared" si="99"/>
        <v>162.0</v>
      </c>
      <c r="O327" s="1053">
        <f t="shared" si="99"/>
        <v>176.40000000001555</v>
      </c>
      <c r="P327" s="1053">
        <f t="shared" si="99"/>
        <v>185.40000000000776</v>
      </c>
      <c r="Q327" s="1054">
        <f t="shared" si="99"/>
        <v>153.00000000000776</v>
      </c>
      <c r="R327" s="1054">
        <f t="shared" si="101"/>
        <v>167.39999999998832</v>
      </c>
      <c r="S327" s="1054">
        <f t="shared" si="101"/>
        <v>176.40000000001555</v>
      </c>
      <c r="T327" s="1055">
        <f t="shared" si="101"/>
        <v>144.00000000001555</v>
      </c>
      <c r="U327" s="1055">
        <f t="shared" si="100"/>
        <v>158.3999999999961</v>
      </c>
      <c r="V327" s="1055">
        <f t="shared" si="100"/>
        <v>167.39999999998832</v>
      </c>
      <c r="W327" s="1056">
        <f t="shared" si="100"/>
        <v>134.99999999998835</v>
      </c>
      <c r="X327" s="1056">
        <f t="shared" si="100"/>
        <v>149.4000000000039</v>
      </c>
      <c r="Y327" s="1056">
        <f t="shared" si="95"/>
        <v>158.3999999999961</v>
      </c>
      <c r="Z327" s="1057">
        <f t="shared" si="95"/>
        <v>125.99999999999612</v>
      </c>
      <c r="AA327" s="1057">
        <f t="shared" si="95"/>
        <v>140.40000000001166</v>
      </c>
      <c r="AB327" s="1057">
        <f t="shared" si="95"/>
        <v>149.4000000000039</v>
      </c>
      <c r="AC327" s="1058">
        <f t="shared" si="95"/>
        <v>117.00000000000388</v>
      </c>
      <c r="AD327" s="1058">
        <f t="shared" si="95"/>
        <v>131.39999999998443</v>
      </c>
      <c r="AE327" s="1058">
        <f t="shared" si="95"/>
        <v>140.40000000001166</v>
      </c>
      <c r="AF327" s="1059">
        <f t="shared" si="95"/>
        <v>108.00000000001167</v>
      </c>
      <c r="AG327" s="1059">
        <f t="shared" si="95"/>
        <v>122.39999999999222</v>
      </c>
      <c r="AH327" s="1059">
        <f t="shared" si="95"/>
        <v>131.39999999998443</v>
      </c>
      <c r="AI327" s="1060">
        <f t="shared" si="105" ref="Y327:AK348">AI328-(AI$363/360)</f>
        <v>98.99999999998595</v>
      </c>
      <c r="AJ327" s="1060">
        <f t="shared" si="93"/>
        <v>113.4</v>
      </c>
      <c r="AK327" s="1060">
        <f t="shared" si="93"/>
        <v>122.39999999999222</v>
      </c>
    </row>
    <row r="328" spans="8:8" ht="15.75" customHeight="1">
      <c r="D328" s="1049">
        <f t="shared" si="104"/>
        <v>0.9027777777778427</v>
      </c>
      <c r="E328" s="1050">
        <f t="shared" si="102"/>
        <v>258.19444444446304</v>
      </c>
      <c r="F328" s="1050">
        <f t="shared" si="103"/>
        <v>272.6388888889085</v>
      </c>
      <c r="G328" s="1050">
        <f t="shared" si="103"/>
        <v>281.6666666666869</v>
      </c>
      <c r="H328" s="1051">
        <f t="shared" si="99"/>
        <v>240.13888888888513</v>
      </c>
      <c r="I328" s="1051">
        <f t="shared" si="99"/>
        <v>254.58333333334465</v>
      </c>
      <c r="J328" s="1051">
        <f t="shared" si="99"/>
        <v>263.6111111111149</v>
      </c>
      <c r="K328" s="1052">
        <f t="shared" si="99"/>
        <v>222.08333333334465</v>
      </c>
      <c r="L328" s="1052">
        <f t="shared" si="99"/>
        <v>236.5277777777702</v>
      </c>
      <c r="M328" s="1052">
        <f t="shared" si="99"/>
        <v>245.55555555554943</v>
      </c>
      <c r="N328" s="1053">
        <f t="shared" si="99"/>
        <v>162.5</v>
      </c>
      <c r="O328" s="1053">
        <f t="shared" si="99"/>
        <v>176.94444444445955</v>
      </c>
      <c r="P328" s="1053">
        <f t="shared" si="99"/>
        <v>185.9722222222298</v>
      </c>
      <c r="Q328" s="1054">
        <f t="shared" si="99"/>
        <v>153.47222222222976</v>
      </c>
      <c r="R328" s="1054">
        <f t="shared" si="101"/>
        <v>167.91666666665532</v>
      </c>
      <c r="S328" s="1054">
        <f t="shared" si="101"/>
        <v>176.94444444445955</v>
      </c>
      <c r="T328" s="1055">
        <f t="shared" si="101"/>
        <v>144.44444444445955</v>
      </c>
      <c r="U328" s="1055">
        <f t="shared" si="100"/>
        <v>158.88888888888513</v>
      </c>
      <c r="V328" s="1055">
        <f t="shared" si="100"/>
        <v>167.91666666665532</v>
      </c>
      <c r="W328" s="1056">
        <f t="shared" si="100"/>
        <v>135.41666666665535</v>
      </c>
      <c r="X328" s="1056">
        <f t="shared" si="100"/>
        <v>149.8611111111149</v>
      </c>
      <c r="Y328" s="1056">
        <f t="shared" si="105"/>
        <v>158.88888888888513</v>
      </c>
      <c r="Z328" s="1057">
        <f t="shared" si="105"/>
        <v>126.38888888888512</v>
      </c>
      <c r="AA328" s="1057">
        <f t="shared" si="105"/>
        <v>140.83333333334465</v>
      </c>
      <c r="AB328" s="1057">
        <f t="shared" si="105"/>
        <v>149.8611111111149</v>
      </c>
      <c r="AC328" s="1058">
        <f t="shared" si="105"/>
        <v>117.36111111111488</v>
      </c>
      <c r="AD328" s="1058">
        <f t="shared" si="105"/>
        <v>131.80555555554042</v>
      </c>
      <c r="AE328" s="1058">
        <f t="shared" si="105"/>
        <v>140.83333333334465</v>
      </c>
      <c r="AF328" s="1059">
        <f t="shared" si="105"/>
        <v>108.33333333334467</v>
      </c>
      <c r="AG328" s="1059">
        <f t="shared" si="105"/>
        <v>122.77777777777023</v>
      </c>
      <c r="AH328" s="1059">
        <f t="shared" si="105"/>
        <v>131.80555555554042</v>
      </c>
      <c r="AI328" s="1060">
        <f t="shared" si="105"/>
        <v>99.30555555554145</v>
      </c>
      <c r="AJ328" s="1060">
        <f t="shared" si="93"/>
        <v>113.75</v>
      </c>
      <c r="AK328" s="1060">
        <f t="shared" si="93"/>
        <v>122.77777777777023</v>
      </c>
    </row>
    <row r="329" spans="8:8" ht="15.75" customHeight="1">
      <c r="D329" s="1049">
        <f t="shared" si="104"/>
        <v>0.9055555555556207</v>
      </c>
      <c r="E329" s="1050">
        <f t="shared" si="102"/>
        <v>258.9888888889075</v>
      </c>
      <c r="F329" s="1050">
        <f t="shared" si="103"/>
        <v>273.4777777777975</v>
      </c>
      <c r="G329" s="1050">
        <f t="shared" si="103"/>
        <v>282.53333333335365</v>
      </c>
      <c r="H329" s="1051">
        <f t="shared" si="99"/>
        <v>240.87777777777413</v>
      </c>
      <c r="I329" s="1051">
        <f t="shared" si="99"/>
        <v>255.36666666667767</v>
      </c>
      <c r="J329" s="1051">
        <f t="shared" si="99"/>
        <v>264.42222222222586</v>
      </c>
      <c r="K329" s="1052">
        <f t="shared" si="99"/>
        <v>222.76666666667765</v>
      </c>
      <c r="L329" s="1052">
        <f t="shared" si="99"/>
        <v>237.2555555555482</v>
      </c>
      <c r="M329" s="1052">
        <f t="shared" si="99"/>
        <v>246.31111111110545</v>
      </c>
      <c r="N329" s="1053">
        <f t="shared" si="99"/>
        <v>163.0</v>
      </c>
      <c r="O329" s="1053">
        <f t="shared" si="99"/>
        <v>177.48888888890355</v>
      </c>
      <c r="P329" s="1053">
        <f t="shared" si="99"/>
        <v>186.54444444445178</v>
      </c>
      <c r="Q329" s="1054">
        <f t="shared" si="99"/>
        <v>153.94444444445176</v>
      </c>
      <c r="R329" s="1054">
        <f t="shared" si="101"/>
        <v>168.4333333333223</v>
      </c>
      <c r="S329" s="1054">
        <f t="shared" si="101"/>
        <v>177.48888888890355</v>
      </c>
      <c r="T329" s="1055">
        <f t="shared" si="101"/>
        <v>144.88888888890355</v>
      </c>
      <c r="U329" s="1055">
        <f t="shared" si="100"/>
        <v>159.37777777777413</v>
      </c>
      <c r="V329" s="1055">
        <f t="shared" si="100"/>
        <v>168.4333333333223</v>
      </c>
      <c r="W329" s="1056">
        <f t="shared" si="100"/>
        <v>135.83333333332234</v>
      </c>
      <c r="X329" s="1056">
        <f t="shared" si="100"/>
        <v>150.3222222222259</v>
      </c>
      <c r="Y329" s="1056">
        <f t="shared" si="105"/>
        <v>159.37777777777413</v>
      </c>
      <c r="Z329" s="1057">
        <f t="shared" si="105"/>
        <v>126.77777777777412</v>
      </c>
      <c r="AA329" s="1057">
        <f t="shared" si="105"/>
        <v>141.26666666667765</v>
      </c>
      <c r="AB329" s="1057">
        <f t="shared" si="105"/>
        <v>150.3222222222259</v>
      </c>
      <c r="AC329" s="1058">
        <f t="shared" si="105"/>
        <v>117.72222222222588</v>
      </c>
      <c r="AD329" s="1058">
        <f t="shared" si="105"/>
        <v>132.21111111109644</v>
      </c>
      <c r="AE329" s="1058">
        <f t="shared" si="105"/>
        <v>141.26666666667765</v>
      </c>
      <c r="AF329" s="1059">
        <f t="shared" si="105"/>
        <v>108.66666666667767</v>
      </c>
      <c r="AG329" s="1059">
        <f t="shared" si="105"/>
        <v>123.15555555554822</v>
      </c>
      <c r="AH329" s="1059">
        <f t="shared" si="105"/>
        <v>132.21111111109644</v>
      </c>
      <c r="AI329" s="1060">
        <f t="shared" si="105"/>
        <v>99.61111111109695</v>
      </c>
      <c r="AJ329" s="1060">
        <f t="shared" si="93"/>
        <v>114.10000000000001</v>
      </c>
      <c r="AK329" s="1060">
        <f t="shared" si="93"/>
        <v>123.15555555554822</v>
      </c>
    </row>
    <row r="330" spans="8:8" ht="15.75" customHeight="1">
      <c r="D330" s="1049">
        <f t="shared" si="104"/>
        <v>0.9083333333333987</v>
      </c>
      <c r="E330" s="1050">
        <f t="shared" si="102"/>
        <v>259.78333333335206</v>
      </c>
      <c r="F330" s="1050">
        <f t="shared" si="103"/>
        <v>274.3166666666864</v>
      </c>
      <c r="G330" s="1050">
        <f t="shared" si="103"/>
        <v>283.4000000000204</v>
      </c>
      <c r="H330" s="1051">
        <f t="shared" si="99"/>
        <v>241.61666666666312</v>
      </c>
      <c r="I330" s="1051">
        <f t="shared" si="99"/>
        <v>256.15000000001066</v>
      </c>
      <c r="J330" s="1051">
        <f t="shared" si="99"/>
        <v>265.2333333333369</v>
      </c>
      <c r="K330" s="1052">
        <f t="shared" si="99"/>
        <v>223.45000000001068</v>
      </c>
      <c r="L330" s="1052">
        <f t="shared" si="99"/>
        <v>237.98333333332621</v>
      </c>
      <c r="M330" s="1052">
        <f t="shared" si="99"/>
        <v>247.06666666666143</v>
      </c>
      <c r="N330" s="1053">
        <f t="shared" si="99"/>
        <v>163.5</v>
      </c>
      <c r="O330" s="1053">
        <f t="shared" si="99"/>
        <v>178.03333333334754</v>
      </c>
      <c r="P330" s="1053">
        <f t="shared" si="99"/>
        <v>187.11666666667378</v>
      </c>
      <c r="Q330" s="1054">
        <f t="shared" si="99"/>
        <v>154.41666666667376</v>
      </c>
      <c r="R330" s="1054">
        <f t="shared" si="101"/>
        <v>168.94999999998933</v>
      </c>
      <c r="S330" s="1054">
        <f t="shared" si="101"/>
        <v>178.03333333334754</v>
      </c>
      <c r="T330" s="1055">
        <f t="shared" si="101"/>
        <v>145.33333333334755</v>
      </c>
      <c r="U330" s="1055">
        <f t="shared" si="100"/>
        <v>159.86666666666312</v>
      </c>
      <c r="V330" s="1055">
        <f t="shared" si="100"/>
        <v>168.94999999998933</v>
      </c>
      <c r="W330" s="1056">
        <f t="shared" si="100"/>
        <v>136.24999999998934</v>
      </c>
      <c r="X330" s="1056">
        <f t="shared" si="100"/>
        <v>150.78333333333688</v>
      </c>
      <c r="Y330" s="1056">
        <f t="shared" si="105"/>
        <v>159.86666666666312</v>
      </c>
      <c r="Z330" s="1057">
        <f t="shared" si="105"/>
        <v>127.16666666666312</v>
      </c>
      <c r="AA330" s="1057">
        <f t="shared" si="105"/>
        <v>141.70000000001068</v>
      </c>
      <c r="AB330" s="1057">
        <f t="shared" si="105"/>
        <v>150.78333333333688</v>
      </c>
      <c r="AC330" s="1058">
        <f t="shared" si="105"/>
        <v>118.08333333333688</v>
      </c>
      <c r="AD330" s="1058">
        <f t="shared" si="105"/>
        <v>132.61666666665243</v>
      </c>
      <c r="AE330" s="1058">
        <f t="shared" si="105"/>
        <v>141.70000000001068</v>
      </c>
      <c r="AF330" s="1059">
        <f t="shared" si="105"/>
        <v>109.00000000001067</v>
      </c>
      <c r="AG330" s="1059">
        <f t="shared" si="105"/>
        <v>123.53333333332623</v>
      </c>
      <c r="AH330" s="1059">
        <f t="shared" si="105"/>
        <v>132.61666666665243</v>
      </c>
      <c r="AI330" s="1060">
        <f t="shared" si="105"/>
        <v>99.91666666665245</v>
      </c>
      <c r="AJ330" s="1060">
        <f t="shared" si="93"/>
        <v>114.45</v>
      </c>
      <c r="AK330" s="1060">
        <f t="shared" si="93"/>
        <v>123.53333333332623</v>
      </c>
    </row>
    <row r="331" spans="8:8" ht="15.75" customHeight="1">
      <c r="D331" s="1049">
        <f t="shared" si="104"/>
        <v>0.9111111111111768</v>
      </c>
      <c r="E331" s="1050">
        <f t="shared" si="102"/>
        <v>260.5777777777966</v>
      </c>
      <c r="F331" s="1050">
        <f t="shared" si="103"/>
        <v>275.1555555555754</v>
      </c>
      <c r="G331" s="1050">
        <f t="shared" si="103"/>
        <v>284.2666666666872</v>
      </c>
      <c r="H331" s="1051">
        <f t="shared" si="99"/>
        <v>242.35555555555212</v>
      </c>
      <c r="I331" s="1051">
        <f t="shared" si="99"/>
        <v>256.9333333333436</v>
      </c>
      <c r="J331" s="1051">
        <f t="shared" si="99"/>
        <v>266.0444444444479</v>
      </c>
      <c r="K331" s="1052">
        <f t="shared" si="99"/>
        <v>224.13333333334367</v>
      </c>
      <c r="L331" s="1052">
        <f t="shared" si="99"/>
        <v>238.7111111111042</v>
      </c>
      <c r="M331" s="1052">
        <f t="shared" si="99"/>
        <v>247.82222222221745</v>
      </c>
      <c r="N331" s="1053">
        <f t="shared" si="99"/>
        <v>164.0</v>
      </c>
      <c r="O331" s="1053">
        <f t="shared" si="99"/>
        <v>178.57777777779154</v>
      </c>
      <c r="P331" s="1053">
        <f t="shared" si="99"/>
        <v>187.68888888889578</v>
      </c>
      <c r="Q331" s="1054">
        <f t="shared" si="99"/>
        <v>154.88888888889576</v>
      </c>
      <c r="R331" s="1054">
        <f t="shared" si="101"/>
        <v>169.46666666665632</v>
      </c>
      <c r="S331" s="1054">
        <f t="shared" si="101"/>
        <v>178.57777777779154</v>
      </c>
      <c r="T331" s="1055">
        <f t="shared" si="101"/>
        <v>145.77777777779156</v>
      </c>
      <c r="U331" s="1055">
        <f t="shared" si="100"/>
        <v>160.35555555555212</v>
      </c>
      <c r="V331" s="1055">
        <f t="shared" si="100"/>
        <v>169.46666666665632</v>
      </c>
      <c r="W331" s="1056">
        <f t="shared" si="100"/>
        <v>136.66666666665634</v>
      </c>
      <c r="X331" s="1056">
        <f t="shared" si="100"/>
        <v>151.24444444444788</v>
      </c>
      <c r="Y331" s="1056">
        <f t="shared" si="105"/>
        <v>160.35555555555212</v>
      </c>
      <c r="Z331" s="1057">
        <f t="shared" si="105"/>
        <v>127.55555555555212</v>
      </c>
      <c r="AA331" s="1057">
        <f t="shared" si="105"/>
        <v>142.13333333334367</v>
      </c>
      <c r="AB331" s="1057">
        <f t="shared" si="105"/>
        <v>151.24444444444788</v>
      </c>
      <c r="AC331" s="1058">
        <f t="shared" si="105"/>
        <v>118.44444444444788</v>
      </c>
      <c r="AD331" s="1058">
        <f t="shared" si="105"/>
        <v>133.02222222220843</v>
      </c>
      <c r="AE331" s="1058">
        <f t="shared" si="105"/>
        <v>142.13333333334367</v>
      </c>
      <c r="AF331" s="1059">
        <f t="shared" si="105"/>
        <v>109.33333333334367</v>
      </c>
      <c r="AG331" s="1059">
        <f t="shared" si="105"/>
        <v>123.91111111110422</v>
      </c>
      <c r="AH331" s="1059">
        <f t="shared" si="105"/>
        <v>133.02222222220843</v>
      </c>
      <c r="AI331" s="1060">
        <f t="shared" si="105"/>
        <v>100.22222222220844</v>
      </c>
      <c r="AJ331" s="1060">
        <f t="shared" si="93"/>
        <v>114.80000000000001</v>
      </c>
      <c r="AK331" s="1060">
        <f t="shared" si="93"/>
        <v>123.91111111110422</v>
      </c>
    </row>
    <row r="332" spans="8:8" ht="15.75" customHeight="1">
      <c r="D332" s="1049">
        <f t="shared" si="104"/>
        <v>0.9138888888889548</v>
      </c>
      <c r="E332" s="1050">
        <f t="shared" si="102"/>
        <v>261.3722222222411</v>
      </c>
      <c r="F332" s="1050">
        <f t="shared" si="103"/>
        <v>275.99444444446436</v>
      </c>
      <c r="G332" s="1050">
        <f t="shared" si="103"/>
        <v>285.1333333333539</v>
      </c>
      <c r="H332" s="1051">
        <f t="shared" si="106" ref="H332:Q347">H333-(H$363/360)</f>
        <v>243.0944444444411</v>
      </c>
      <c r="I332" s="1051">
        <f t="shared" si="106"/>
        <v>257.71666666667664</v>
      </c>
      <c r="J332" s="1051">
        <f t="shared" si="106"/>
        <v>266.85555555555885</v>
      </c>
      <c r="K332" s="1052">
        <f t="shared" si="106"/>
        <v>224.81666666667667</v>
      </c>
      <c r="L332" s="1052">
        <f t="shared" si="106"/>
        <v>239.43888888888222</v>
      </c>
      <c r="M332" s="1052">
        <f t="shared" si="106"/>
        <v>248.57777777777343</v>
      </c>
      <c r="N332" s="1053">
        <f t="shared" si="106"/>
        <v>164.5</v>
      </c>
      <c r="O332" s="1053">
        <f t="shared" si="106"/>
        <v>179.12222222223554</v>
      </c>
      <c r="P332" s="1053">
        <f t="shared" si="106"/>
        <v>188.26111111111777</v>
      </c>
      <c r="Q332" s="1054">
        <f t="shared" si="106"/>
        <v>155.36111111111776</v>
      </c>
      <c r="R332" s="1054">
        <f t="shared" si="101"/>
        <v>169.98333333332332</v>
      </c>
      <c r="S332" s="1054">
        <f t="shared" si="101"/>
        <v>179.12222222223554</v>
      </c>
      <c r="T332" s="1055">
        <f t="shared" si="101"/>
        <v>146.22222222223553</v>
      </c>
      <c r="U332" s="1055">
        <f t="shared" si="100"/>
        <v>160.8444444444411</v>
      </c>
      <c r="V332" s="1055">
        <f t="shared" si="100"/>
        <v>169.98333333332332</v>
      </c>
      <c r="W332" s="1056">
        <f t="shared" si="100"/>
        <v>137.08333333332334</v>
      </c>
      <c r="X332" s="1056">
        <f t="shared" si="100"/>
        <v>151.7055555555589</v>
      </c>
      <c r="Y332" s="1056">
        <f t="shared" si="105"/>
        <v>160.8444444444411</v>
      </c>
      <c r="Z332" s="1057">
        <f t="shared" si="105"/>
        <v>127.9444444444411</v>
      </c>
      <c r="AA332" s="1057">
        <f t="shared" si="105"/>
        <v>142.56666666667667</v>
      </c>
      <c r="AB332" s="1057">
        <f t="shared" si="105"/>
        <v>151.7055555555589</v>
      </c>
      <c r="AC332" s="1058">
        <f t="shared" si="105"/>
        <v>118.80555555555888</v>
      </c>
      <c r="AD332" s="1058">
        <f t="shared" si="105"/>
        <v>133.42777777776445</v>
      </c>
      <c r="AE332" s="1058">
        <f t="shared" si="105"/>
        <v>142.56666666667667</v>
      </c>
      <c r="AF332" s="1059">
        <f t="shared" si="105"/>
        <v>109.66666666667668</v>
      </c>
      <c r="AG332" s="1059">
        <f t="shared" si="105"/>
        <v>124.28888888888223</v>
      </c>
      <c r="AH332" s="1059">
        <f t="shared" si="105"/>
        <v>133.42777777776445</v>
      </c>
      <c r="AI332" s="1060">
        <f t="shared" si="105"/>
        <v>100.52777777776444</v>
      </c>
      <c r="AJ332" s="1060">
        <f t="shared" si="93"/>
        <v>115.15</v>
      </c>
      <c r="AK332" s="1060">
        <f t="shared" si="93"/>
        <v>124.28888888888223</v>
      </c>
    </row>
    <row r="333" spans="8:8" ht="15.75" customHeight="1">
      <c r="D333" s="1049">
        <f t="shared" si="104"/>
        <v>0.9166666666667328</v>
      </c>
      <c r="E333" s="1050">
        <f t="shared" si="102"/>
        <v>262.16666666668556</v>
      </c>
      <c r="F333" s="1050">
        <f t="shared" si="103"/>
        <v>276.8333333333533</v>
      </c>
      <c r="G333" s="1050">
        <f t="shared" si="103"/>
        <v>286.00000000002063</v>
      </c>
      <c r="H333" s="1051">
        <f t="shared" si="106"/>
        <v>243.83333333333013</v>
      </c>
      <c r="I333" s="1051">
        <f t="shared" si="106"/>
        <v>258.50000000000966</v>
      </c>
      <c r="J333" s="1051">
        <f t="shared" si="106"/>
        <v>267.66666666666987</v>
      </c>
      <c r="K333" s="1052">
        <f t="shared" si="106"/>
        <v>225.50000000000966</v>
      </c>
      <c r="L333" s="1052">
        <f t="shared" si="106"/>
        <v>240.1666666666602</v>
      </c>
      <c r="M333" s="1052">
        <f t="shared" si="106"/>
        <v>249.33333333332945</v>
      </c>
      <c r="N333" s="1053">
        <f t="shared" si="106"/>
        <v>165.0</v>
      </c>
      <c r="O333" s="1053">
        <f t="shared" si="106"/>
        <v>179.66666666667956</v>
      </c>
      <c r="P333" s="1053">
        <f t="shared" si="106"/>
        <v>188.83333333333977</v>
      </c>
      <c r="Q333" s="1054">
        <f t="shared" si="106"/>
        <v>155.83333333333977</v>
      </c>
      <c r="R333" s="1054">
        <f t="shared" si="101"/>
        <v>170.4999999999903</v>
      </c>
      <c r="S333" s="1054">
        <f t="shared" si="101"/>
        <v>179.66666666667956</v>
      </c>
      <c r="T333" s="1055">
        <f t="shared" si="101"/>
        <v>146.66666666667953</v>
      </c>
      <c r="U333" s="1055">
        <f t="shared" si="100"/>
        <v>161.33333333333013</v>
      </c>
      <c r="V333" s="1055">
        <f t="shared" si="100"/>
        <v>170.4999999999903</v>
      </c>
      <c r="W333" s="1056">
        <f t="shared" si="100"/>
        <v>137.49999999999034</v>
      </c>
      <c r="X333" s="1056">
        <f t="shared" si="100"/>
        <v>152.1666666666699</v>
      </c>
      <c r="Y333" s="1056">
        <f t="shared" si="105"/>
        <v>161.33333333333013</v>
      </c>
      <c r="Z333" s="1057">
        <f t="shared" si="105"/>
        <v>128.3333333333301</v>
      </c>
      <c r="AA333" s="1057">
        <f t="shared" si="105"/>
        <v>143.00000000000966</v>
      </c>
      <c r="AB333" s="1057">
        <f t="shared" si="105"/>
        <v>152.1666666666699</v>
      </c>
      <c r="AC333" s="1058">
        <f t="shared" si="105"/>
        <v>119.16666666666988</v>
      </c>
      <c r="AD333" s="1058">
        <f t="shared" si="105"/>
        <v>133.83333333332044</v>
      </c>
      <c r="AE333" s="1058">
        <f t="shared" si="105"/>
        <v>143.00000000000966</v>
      </c>
      <c r="AF333" s="1059">
        <f t="shared" si="105"/>
        <v>110.00000000000968</v>
      </c>
      <c r="AG333" s="1059">
        <f t="shared" si="105"/>
        <v>124.66666666666022</v>
      </c>
      <c r="AH333" s="1059">
        <f t="shared" si="105"/>
        <v>133.83333333332044</v>
      </c>
      <c r="AI333" s="1060">
        <f t="shared" si="105"/>
        <v>100.83333333332044</v>
      </c>
      <c r="AJ333" s="1060">
        <f t="shared" si="93"/>
        <v>115.5</v>
      </c>
      <c r="AK333" s="1060">
        <f t="shared" si="93"/>
        <v>124.66666666666022</v>
      </c>
    </row>
    <row r="334" spans="8:8" ht="15.75" customHeight="1">
      <c r="D334" s="1049">
        <f t="shared" si="104"/>
        <v>0.9194444444445108</v>
      </c>
      <c r="E334" s="1050">
        <f t="shared" si="102"/>
        <v>262.9611111111301</v>
      </c>
      <c r="F334" s="1050">
        <f t="shared" si="103"/>
        <v>277.6722222222423</v>
      </c>
      <c r="G334" s="1050">
        <f t="shared" si="103"/>
        <v>286.86666666668737</v>
      </c>
      <c r="H334" s="1051">
        <f t="shared" si="106"/>
        <v>244.57222222221912</v>
      </c>
      <c r="I334" s="1051">
        <f t="shared" si="106"/>
        <v>259.2833333333426</v>
      </c>
      <c r="J334" s="1051">
        <f t="shared" si="106"/>
        <v>268.4777777777809</v>
      </c>
      <c r="K334" s="1052">
        <f t="shared" si="106"/>
        <v>226.18333333334266</v>
      </c>
      <c r="L334" s="1052">
        <f t="shared" si="106"/>
        <v>240.89444444443822</v>
      </c>
      <c r="M334" s="1052">
        <f t="shared" si="106"/>
        <v>250.08888888888544</v>
      </c>
      <c r="N334" s="1053">
        <f t="shared" si="106"/>
        <v>165.5</v>
      </c>
      <c r="O334" s="1053">
        <f t="shared" si="106"/>
        <v>180.21111111112356</v>
      </c>
      <c r="P334" s="1053">
        <f t="shared" si="106"/>
        <v>189.4055555555618</v>
      </c>
      <c r="Q334" s="1054">
        <f t="shared" si="106"/>
        <v>156.30555555556177</v>
      </c>
      <c r="R334" s="1054">
        <f t="shared" si="101"/>
        <v>171.01666666665733</v>
      </c>
      <c r="S334" s="1054">
        <f t="shared" si="101"/>
        <v>180.21111111112356</v>
      </c>
      <c r="T334" s="1055">
        <f t="shared" si="101"/>
        <v>147.11111111112353</v>
      </c>
      <c r="U334" s="1055">
        <f t="shared" si="107" ref="U334:AJ361">U335-(U$363/360)</f>
        <v>161.82222222221912</v>
      </c>
      <c r="V334" s="1055">
        <f t="shared" si="107"/>
        <v>171.01666666665733</v>
      </c>
      <c r="W334" s="1056">
        <f t="shared" si="107"/>
        <v>137.91666666665733</v>
      </c>
      <c r="X334" s="1056">
        <f t="shared" si="107"/>
        <v>152.6277777777809</v>
      </c>
      <c r="Y334" s="1056">
        <f t="shared" si="105"/>
        <v>161.82222222221912</v>
      </c>
      <c r="Z334" s="1057">
        <f t="shared" si="105"/>
        <v>128.7222222222191</v>
      </c>
      <c r="AA334" s="1057">
        <f t="shared" si="105"/>
        <v>143.43333333334266</v>
      </c>
      <c r="AB334" s="1057">
        <f t="shared" si="105"/>
        <v>152.6277777777809</v>
      </c>
      <c r="AC334" s="1058">
        <f t="shared" si="105"/>
        <v>119.52777777778088</v>
      </c>
      <c r="AD334" s="1058">
        <f t="shared" si="105"/>
        <v>134.23888888887643</v>
      </c>
      <c r="AE334" s="1058">
        <f t="shared" si="105"/>
        <v>143.43333333334266</v>
      </c>
      <c r="AF334" s="1059">
        <f t="shared" si="105"/>
        <v>110.33333333334267</v>
      </c>
      <c r="AG334" s="1059">
        <f t="shared" si="105"/>
        <v>125.04444444443823</v>
      </c>
      <c r="AH334" s="1059">
        <f t="shared" si="105"/>
        <v>134.23888888887643</v>
      </c>
      <c r="AI334" s="1060">
        <f t="shared" si="105"/>
        <v>101.13888888887644</v>
      </c>
      <c r="AJ334" s="1060">
        <f t="shared" si="93"/>
        <v>115.85000000000001</v>
      </c>
      <c r="AK334" s="1060">
        <f t="shared" si="93"/>
        <v>125.04444444443823</v>
      </c>
    </row>
    <row r="335" spans="8:8" ht="15.75" customHeight="1">
      <c r="D335" s="1049">
        <f t="shared" si="104"/>
        <v>0.9222222222222888</v>
      </c>
      <c r="E335" s="1050">
        <f t="shared" si="102"/>
        <v>263.7555555555746</v>
      </c>
      <c r="F335" s="1050">
        <f t="shared" si="103"/>
        <v>278.5111111111312</v>
      </c>
      <c r="G335" s="1050">
        <f t="shared" si="103"/>
        <v>287.7333333333541</v>
      </c>
      <c r="H335" s="1051">
        <f t="shared" si="108" ref="H335:T350">H336-(H$363/360)</f>
        <v>245.31111111110812</v>
      </c>
      <c r="I335" s="1051">
        <f t="shared" si="106"/>
        <v>260.06666666667564</v>
      </c>
      <c r="J335" s="1051">
        <f t="shared" si="106"/>
        <v>269.28888888889185</v>
      </c>
      <c r="K335" s="1052">
        <f t="shared" si="106"/>
        <v>226.86666666667566</v>
      </c>
      <c r="L335" s="1052">
        <f t="shared" si="106"/>
        <v>241.6222222222162</v>
      </c>
      <c r="M335" s="1052">
        <f t="shared" si="106"/>
        <v>250.84444444444145</v>
      </c>
      <c r="N335" s="1053">
        <f t="shared" si="106"/>
        <v>166.0</v>
      </c>
      <c r="O335" s="1053">
        <f t="shared" si="106"/>
        <v>180.75555555556755</v>
      </c>
      <c r="P335" s="1053">
        <f t="shared" si="106"/>
        <v>189.97777777778379</v>
      </c>
      <c r="Q335" s="1054">
        <f t="shared" si="106"/>
        <v>156.77777777778377</v>
      </c>
      <c r="R335" s="1054">
        <f t="shared" si="108"/>
        <v>171.53333333332432</v>
      </c>
      <c r="S335" s="1054">
        <f t="shared" si="108"/>
        <v>180.75555555556755</v>
      </c>
      <c r="T335" s="1055">
        <f t="shared" si="108"/>
        <v>147.55555555556754</v>
      </c>
      <c r="U335" s="1055">
        <f t="shared" si="107"/>
        <v>162.31111111110812</v>
      </c>
      <c r="V335" s="1055">
        <f t="shared" si="107"/>
        <v>171.53333333332432</v>
      </c>
      <c r="W335" s="1056">
        <f t="shared" si="107"/>
        <v>138.33333333332433</v>
      </c>
      <c r="X335" s="1056">
        <f t="shared" si="107"/>
        <v>153.0888888888919</v>
      </c>
      <c r="Y335" s="1056">
        <f t="shared" si="105"/>
        <v>162.31111111110812</v>
      </c>
      <c r="Z335" s="1057">
        <f t="shared" si="105"/>
        <v>129.1111111111081</v>
      </c>
      <c r="AA335" s="1057">
        <f t="shared" si="105"/>
        <v>143.86666666667566</v>
      </c>
      <c r="AB335" s="1057">
        <f t="shared" si="105"/>
        <v>153.0888888888919</v>
      </c>
      <c r="AC335" s="1058">
        <f t="shared" si="105"/>
        <v>119.88888888889188</v>
      </c>
      <c r="AD335" s="1058">
        <f t="shared" si="105"/>
        <v>134.64444444443242</v>
      </c>
      <c r="AE335" s="1058">
        <f t="shared" si="105"/>
        <v>143.86666666667566</v>
      </c>
      <c r="AF335" s="1059">
        <f t="shared" si="105"/>
        <v>110.66666666667567</v>
      </c>
      <c r="AG335" s="1059">
        <f t="shared" si="105"/>
        <v>125.42222222221622</v>
      </c>
      <c r="AH335" s="1059">
        <f t="shared" si="105"/>
        <v>134.64444444443242</v>
      </c>
      <c r="AI335" s="1060">
        <f t="shared" si="105"/>
        <v>101.44444444443245</v>
      </c>
      <c r="AJ335" s="1060">
        <f t="shared" si="93"/>
        <v>116.2</v>
      </c>
      <c r="AK335" s="1060">
        <f t="shared" si="93"/>
        <v>125.42222222221622</v>
      </c>
    </row>
    <row r="336" spans="8:8" ht="15.75" customHeight="1">
      <c r="D336" s="1049">
        <f t="shared" si="104"/>
        <v>0.9250000000000668</v>
      </c>
      <c r="E336" s="1050">
        <f t="shared" si="102"/>
        <v>264.5500000000191</v>
      </c>
      <c r="F336" s="1063">
        <f>F$363*$D336+0.01</f>
        <v>279.36000000001997</v>
      </c>
      <c r="G336" s="1050">
        <f t="shared" si="103"/>
        <v>288.6000000000208</v>
      </c>
      <c r="H336" s="1051">
        <f t="shared" si="106"/>
        <v>246.0499999999971</v>
      </c>
      <c r="I336" s="1051">
        <f t="shared" si="106"/>
        <v>260.85000000000866</v>
      </c>
      <c r="J336" s="1051">
        <f t="shared" si="106"/>
        <v>270.10000000000286</v>
      </c>
      <c r="K336" s="1052">
        <f t="shared" si="106"/>
        <v>227.55000000000865</v>
      </c>
      <c r="L336" s="1052">
        <f t="shared" si="106"/>
        <v>242.34999999999422</v>
      </c>
      <c r="M336" s="1052">
        <f t="shared" si="106"/>
        <v>251.59999999999744</v>
      </c>
      <c r="N336" s="1053">
        <f t="shared" si="106"/>
        <v>166.5</v>
      </c>
      <c r="O336" s="1053">
        <f t="shared" si="106"/>
        <v>181.30000000001155</v>
      </c>
      <c r="P336" s="1053">
        <f t="shared" si="106"/>
        <v>190.55000000000578</v>
      </c>
      <c r="Q336" s="1054">
        <f t="shared" si="106"/>
        <v>157.25000000000577</v>
      </c>
      <c r="R336" s="1054">
        <f t="shared" si="108"/>
        <v>172.04999999999131</v>
      </c>
      <c r="S336" s="1054">
        <f t="shared" si="108"/>
        <v>181.30000000001155</v>
      </c>
      <c r="T336" s="1055">
        <f t="shared" si="108"/>
        <v>148.00000000001154</v>
      </c>
      <c r="U336" s="1055">
        <f t="shared" si="107"/>
        <v>162.7999999999971</v>
      </c>
      <c r="V336" s="1055">
        <f t="shared" si="107"/>
        <v>172.04999999999131</v>
      </c>
      <c r="W336" s="1056">
        <f t="shared" si="107"/>
        <v>138.74999999999133</v>
      </c>
      <c r="X336" s="1056">
        <f t="shared" si="107"/>
        <v>153.55000000000288</v>
      </c>
      <c r="Y336" s="1056">
        <f t="shared" si="105"/>
        <v>162.7999999999971</v>
      </c>
      <c r="Z336" s="1057">
        <f t="shared" si="105"/>
        <v>129.4999999999971</v>
      </c>
      <c r="AA336" s="1057">
        <f t="shared" si="105"/>
        <v>144.30000000000865</v>
      </c>
      <c r="AB336" s="1057">
        <f t="shared" si="105"/>
        <v>153.55000000000288</v>
      </c>
      <c r="AC336" s="1058">
        <f t="shared" si="105"/>
        <v>120.25000000000288</v>
      </c>
      <c r="AD336" s="1058">
        <f t="shared" si="105"/>
        <v>135.04999999998844</v>
      </c>
      <c r="AE336" s="1058">
        <f t="shared" si="105"/>
        <v>144.30000000000865</v>
      </c>
      <c r="AF336" s="1059">
        <f t="shared" si="105"/>
        <v>111.00000000000867</v>
      </c>
      <c r="AG336" s="1059">
        <f t="shared" si="105"/>
        <v>125.79999999999421</v>
      </c>
      <c r="AH336" s="1059">
        <f t="shared" si="105"/>
        <v>135.04999999998844</v>
      </c>
      <c r="AI336" s="1060">
        <f t="shared" si="105"/>
        <v>101.74999999998845</v>
      </c>
      <c r="AJ336" s="1060">
        <f t="shared" si="93"/>
        <v>116.55000000000001</v>
      </c>
      <c r="AK336" s="1060">
        <f t="shared" si="93"/>
        <v>125.79999999999421</v>
      </c>
    </row>
    <row r="337" spans="8:8" ht="15.75" customHeight="1">
      <c r="D337" s="1049">
        <f t="shared" si="104"/>
        <v>0.9277777777778448</v>
      </c>
      <c r="E337" s="1050">
        <f t="shared" si="102"/>
        <v>265.3444444444636</v>
      </c>
      <c r="F337" s="1050">
        <f t="shared" si="103"/>
        <v>280.1888888889091</v>
      </c>
      <c r="G337" s="1050">
        <f t="shared" si="103"/>
        <v>289.46666666668756</v>
      </c>
      <c r="H337" s="1051">
        <f t="shared" si="106"/>
        <v>246.7888888888861</v>
      </c>
      <c r="I337" s="1051">
        <f t="shared" si="106"/>
        <v>261.6333333333416</v>
      </c>
      <c r="J337" s="1051">
        <f t="shared" si="106"/>
        <v>270.9111111111139</v>
      </c>
      <c r="K337" s="1052">
        <f t="shared" si="106"/>
        <v>228.23333333334168</v>
      </c>
      <c r="L337" s="1052">
        <f t="shared" si="106"/>
        <v>243.0777777777722</v>
      </c>
      <c r="M337" s="1052">
        <f t="shared" si="106"/>
        <v>252.35555555555345</v>
      </c>
      <c r="N337" s="1053">
        <f t="shared" si="106"/>
        <v>167.0</v>
      </c>
      <c r="O337" s="1053">
        <f t="shared" si="106"/>
        <v>181.84444444445555</v>
      </c>
      <c r="P337" s="1053">
        <f t="shared" si="106"/>
        <v>191.12222222222778</v>
      </c>
      <c r="Q337" s="1054">
        <f t="shared" si="106"/>
        <v>157.72222222222777</v>
      </c>
      <c r="R337" s="1054">
        <f t="shared" si="108"/>
        <v>172.5666666666583</v>
      </c>
      <c r="S337" s="1054">
        <f t="shared" si="108"/>
        <v>181.84444444445555</v>
      </c>
      <c r="T337" s="1055">
        <f t="shared" si="108"/>
        <v>148.44444444445554</v>
      </c>
      <c r="U337" s="1055">
        <f t="shared" si="107"/>
        <v>163.2888888888861</v>
      </c>
      <c r="V337" s="1055">
        <f t="shared" si="107"/>
        <v>172.5666666666583</v>
      </c>
      <c r="W337" s="1056">
        <f t="shared" si="107"/>
        <v>139.16666666665833</v>
      </c>
      <c r="X337" s="1056">
        <f t="shared" si="107"/>
        <v>154.0111111111139</v>
      </c>
      <c r="Y337" s="1056">
        <f t="shared" si="105"/>
        <v>163.2888888888861</v>
      </c>
      <c r="Z337" s="1057">
        <f t="shared" si="105"/>
        <v>129.8888888888861</v>
      </c>
      <c r="AA337" s="1057">
        <f t="shared" si="105"/>
        <v>144.73333333334168</v>
      </c>
      <c r="AB337" s="1057">
        <f t="shared" si="105"/>
        <v>154.0111111111139</v>
      </c>
      <c r="AC337" s="1058">
        <f t="shared" si="105"/>
        <v>120.61111111111389</v>
      </c>
      <c r="AD337" s="1058">
        <f t="shared" si="105"/>
        <v>135.45555555554444</v>
      </c>
      <c r="AE337" s="1058">
        <f t="shared" si="105"/>
        <v>144.73333333334168</v>
      </c>
      <c r="AF337" s="1059">
        <f t="shared" si="105"/>
        <v>111.33333333334167</v>
      </c>
      <c r="AG337" s="1059">
        <f t="shared" si="105"/>
        <v>126.17777777777222</v>
      </c>
      <c r="AH337" s="1059">
        <f t="shared" si="105"/>
        <v>135.45555555554444</v>
      </c>
      <c r="AI337" s="1060">
        <f t="shared" si="105"/>
        <v>102.05555555554444</v>
      </c>
      <c r="AJ337" s="1060">
        <f t="shared" si="105"/>
        <v>116.9</v>
      </c>
      <c r="AK337" s="1060">
        <f t="shared" si="105"/>
        <v>126.17777777777222</v>
      </c>
      <c r="AN337" s="1064"/>
      <c r="AO337" s="1064"/>
      <c r="AP337" s="1064"/>
      <c r="AQ337" s="1064"/>
    </row>
    <row r="338" spans="8:8" ht="15.75" customHeight="1">
      <c r="D338" s="1049">
        <f t="shared" si="104"/>
        <v>0.9305555555556227</v>
      </c>
      <c r="E338" s="1050">
        <f t="shared" si="102"/>
        <v>266.1388888889081</v>
      </c>
      <c r="F338" s="1050">
        <f t="shared" si="103"/>
        <v>281.02777777779806</v>
      </c>
      <c r="G338" s="1050">
        <f t="shared" si="103"/>
        <v>290.3333333333543</v>
      </c>
      <c r="H338" s="1051">
        <f t="shared" si="106"/>
        <v>247.52777777777513</v>
      </c>
      <c r="I338" s="1051">
        <f t="shared" si="106"/>
        <v>262.41666666667464</v>
      </c>
      <c r="J338" s="1051">
        <f t="shared" si="106"/>
        <v>271.72222222222484</v>
      </c>
      <c r="K338" s="1052">
        <f t="shared" si="106"/>
        <v>228.91666666667467</v>
      </c>
      <c r="L338" s="1052">
        <f t="shared" si="106"/>
        <v>243.8055555555502</v>
      </c>
      <c r="M338" s="1052">
        <f t="shared" si="106"/>
        <v>253.11111111110944</v>
      </c>
      <c r="N338" s="1053">
        <f t="shared" si="106"/>
        <v>167.5</v>
      </c>
      <c r="O338" s="1053">
        <f t="shared" si="106"/>
        <v>182.38888888889954</v>
      </c>
      <c r="P338" s="1053">
        <f t="shared" si="106"/>
        <v>191.69444444444977</v>
      </c>
      <c r="Q338" s="1054">
        <f t="shared" si="106"/>
        <v>158.19444444444977</v>
      </c>
      <c r="R338" s="1054">
        <f t="shared" si="108"/>
        <v>173.08333333332533</v>
      </c>
      <c r="S338" s="1054">
        <f t="shared" si="108"/>
        <v>182.38888888889954</v>
      </c>
      <c r="T338" s="1055">
        <f t="shared" si="108"/>
        <v>148.88888888889954</v>
      </c>
      <c r="U338" s="1055">
        <f t="shared" si="107"/>
        <v>163.77777777777513</v>
      </c>
      <c r="V338" s="1055">
        <f t="shared" si="107"/>
        <v>173.08333333332533</v>
      </c>
      <c r="W338" s="1056">
        <f t="shared" si="107"/>
        <v>139.58333333332536</v>
      </c>
      <c r="X338" s="1056">
        <f t="shared" si="107"/>
        <v>154.4722222222249</v>
      </c>
      <c r="Y338" s="1056">
        <f t="shared" si="105"/>
        <v>163.77777777777513</v>
      </c>
      <c r="Z338" s="1057">
        <f t="shared" si="105"/>
        <v>130.27777777777513</v>
      </c>
      <c r="AA338" s="1057">
        <f t="shared" si="105"/>
        <v>145.16666666667467</v>
      </c>
      <c r="AB338" s="1057">
        <f t="shared" si="105"/>
        <v>154.4722222222249</v>
      </c>
      <c r="AC338" s="1058">
        <f t="shared" si="105"/>
        <v>120.97222222222489</v>
      </c>
      <c r="AD338" s="1058">
        <f t="shared" si="105"/>
        <v>135.86111111110043</v>
      </c>
      <c r="AE338" s="1058">
        <f t="shared" si="105"/>
        <v>145.16666666667467</v>
      </c>
      <c r="AF338" s="1059">
        <f t="shared" si="105"/>
        <v>111.66666666667467</v>
      </c>
      <c r="AG338" s="1059">
        <f t="shared" si="105"/>
        <v>126.55555555555021</v>
      </c>
      <c r="AH338" s="1059">
        <f t="shared" si="105"/>
        <v>135.86111111110043</v>
      </c>
      <c r="AI338" s="1060">
        <f t="shared" si="105"/>
        <v>102.36111111110044</v>
      </c>
      <c r="AJ338" s="1060">
        <f t="shared" si="105"/>
        <v>117.25</v>
      </c>
      <c r="AK338" s="1060">
        <f t="shared" si="105"/>
        <v>126.55555555555021</v>
      </c>
      <c r="AN338" s="1064"/>
      <c r="AO338" s="1064"/>
      <c r="AP338" s="1064"/>
      <c r="AQ338" s="1064"/>
    </row>
    <row r="339" spans="8:8" ht="15.75" customHeight="1">
      <c r="D339" s="1049">
        <f t="shared" si="104"/>
        <v>0.9333333333334007</v>
      </c>
      <c r="E339" s="1050">
        <f t="shared" si="102"/>
        <v>266.9333333333526</v>
      </c>
      <c r="F339" s="1050">
        <f t="shared" si="103"/>
        <v>281.866666666687</v>
      </c>
      <c r="G339" s="1050">
        <f t="shared" si="103"/>
        <v>291.200000000021</v>
      </c>
      <c r="H339" s="1051">
        <f t="shared" si="106"/>
        <v>248.26666666666412</v>
      </c>
      <c r="I339" s="1051">
        <f t="shared" si="106"/>
        <v>263.20000000000766</v>
      </c>
      <c r="J339" s="1051">
        <f t="shared" si="106"/>
        <v>272.53333333333586</v>
      </c>
      <c r="K339" s="1052">
        <f t="shared" si="106"/>
        <v>229.60000000000767</v>
      </c>
      <c r="L339" s="1052">
        <f t="shared" si="106"/>
        <v>244.53333333332822</v>
      </c>
      <c r="M339" s="1052">
        <f t="shared" si="106"/>
        <v>253.86666666666545</v>
      </c>
      <c r="N339" s="1053">
        <f t="shared" si="106"/>
        <v>168.0</v>
      </c>
      <c r="O339" s="1053">
        <f t="shared" si="106"/>
        <v>182.93333333334354</v>
      </c>
      <c r="P339" s="1053">
        <f t="shared" si="106"/>
        <v>192.26666666667177</v>
      </c>
      <c r="Q339" s="1054">
        <f t="shared" si="106"/>
        <v>158.66666666667177</v>
      </c>
      <c r="R339" s="1054">
        <f t="shared" si="108"/>
        <v>173.59999999999232</v>
      </c>
      <c r="S339" s="1054">
        <f t="shared" si="108"/>
        <v>182.93333333334354</v>
      </c>
      <c r="T339" s="1055">
        <f t="shared" si="108"/>
        <v>149.33333333334355</v>
      </c>
      <c r="U339" s="1055">
        <f t="shared" si="107"/>
        <v>164.26666666666412</v>
      </c>
      <c r="V339" s="1055">
        <f t="shared" si="107"/>
        <v>173.59999999999232</v>
      </c>
      <c r="W339" s="1056">
        <f t="shared" si="107"/>
        <v>139.99999999999235</v>
      </c>
      <c r="X339" s="1056">
        <f t="shared" si="107"/>
        <v>154.9333333333359</v>
      </c>
      <c r="Y339" s="1056">
        <f t="shared" si="105"/>
        <v>164.26666666666412</v>
      </c>
      <c r="Z339" s="1057">
        <f t="shared" si="105"/>
        <v>130.66666666666413</v>
      </c>
      <c r="AA339" s="1057">
        <f t="shared" si="105"/>
        <v>145.60000000000767</v>
      </c>
      <c r="AB339" s="1057">
        <f t="shared" si="105"/>
        <v>154.9333333333359</v>
      </c>
      <c r="AC339" s="1058">
        <f t="shared" si="105"/>
        <v>121.33333333333589</v>
      </c>
      <c r="AD339" s="1058">
        <f t="shared" si="105"/>
        <v>136.26666666665645</v>
      </c>
      <c r="AE339" s="1058">
        <f t="shared" si="105"/>
        <v>145.60000000000767</v>
      </c>
      <c r="AF339" s="1059">
        <f t="shared" si="105"/>
        <v>112.00000000000767</v>
      </c>
      <c r="AG339" s="1059">
        <f t="shared" si="105"/>
        <v>126.93333333332822</v>
      </c>
      <c r="AH339" s="1059">
        <f t="shared" si="105"/>
        <v>136.26666666665645</v>
      </c>
      <c r="AI339" s="1060">
        <f t="shared" si="105"/>
        <v>102.66666666665644</v>
      </c>
      <c r="AJ339" s="1060">
        <f t="shared" si="105"/>
        <v>117.60000000000001</v>
      </c>
      <c r="AK339" s="1060">
        <f t="shared" si="105"/>
        <v>126.93333333332822</v>
      </c>
      <c r="AN339" s="1064"/>
      <c r="AO339" s="1064"/>
      <c r="AP339" s="1064"/>
      <c r="AQ339" s="1064"/>
    </row>
    <row r="340" spans="8:8" ht="15.75" customHeight="1">
      <c r="D340" s="1049">
        <f>D339+0.2/72</f>
        <v>0.9361111111111787</v>
      </c>
      <c r="E340" s="1050">
        <f t="shared" si="102"/>
        <v>267.72777777779714</v>
      </c>
      <c r="F340" s="1050">
        <f t="shared" si="103"/>
        <v>282.705555555576</v>
      </c>
      <c r="G340" s="1050">
        <f t="shared" si="103"/>
        <v>292.06666666668775</v>
      </c>
      <c r="H340" s="1051">
        <f t="shared" si="106"/>
        <v>249.00555555555312</v>
      </c>
      <c r="I340" s="1051">
        <f t="shared" si="106"/>
        <v>263.9833333333406</v>
      </c>
      <c r="J340" s="1051">
        <f t="shared" si="106"/>
        <v>273.3444444444469</v>
      </c>
      <c r="K340" s="1052">
        <f t="shared" si="106"/>
        <v>230.28333333334066</v>
      </c>
      <c r="L340" s="1052">
        <f t="shared" si="106"/>
        <v>245.2611111111062</v>
      </c>
      <c r="M340" s="1052">
        <f t="shared" si="106"/>
        <v>254.62222222222144</v>
      </c>
      <c r="N340" s="1053">
        <f t="shared" si="106"/>
        <v>168.5</v>
      </c>
      <c r="O340" s="1053">
        <f t="shared" si="106"/>
        <v>183.47777777778754</v>
      </c>
      <c r="P340" s="1053">
        <f t="shared" si="106"/>
        <v>192.8388888888938</v>
      </c>
      <c r="Q340" s="1054">
        <f t="shared" si="106"/>
        <v>159.13888888889377</v>
      </c>
      <c r="R340" s="1054">
        <f t="shared" si="108"/>
        <v>174.1166666666593</v>
      </c>
      <c r="S340" s="1054">
        <f t="shared" si="108"/>
        <v>183.47777777778754</v>
      </c>
      <c r="T340" s="1055">
        <f t="shared" si="108"/>
        <v>149.77777777778755</v>
      </c>
      <c r="U340" s="1055">
        <f t="shared" si="107"/>
        <v>164.75555555555312</v>
      </c>
      <c r="V340" s="1055">
        <f t="shared" si="107"/>
        <v>174.1166666666593</v>
      </c>
      <c r="W340" s="1056">
        <f t="shared" si="107"/>
        <v>140.41666666665935</v>
      </c>
      <c r="X340" s="1056">
        <f t="shared" si="107"/>
        <v>155.3944444444469</v>
      </c>
      <c r="Y340" s="1056">
        <f t="shared" si="105"/>
        <v>164.75555555555312</v>
      </c>
      <c r="Z340" s="1057">
        <f t="shared" si="105"/>
        <v>131.05555555555313</v>
      </c>
      <c r="AA340" s="1057">
        <f t="shared" si="105"/>
        <v>146.03333333334066</v>
      </c>
      <c r="AB340" s="1057">
        <f t="shared" si="105"/>
        <v>155.3944444444469</v>
      </c>
      <c r="AC340" s="1058">
        <f t="shared" si="105"/>
        <v>121.69444444444689</v>
      </c>
      <c r="AD340" s="1058">
        <f t="shared" si="105"/>
        <v>136.67222222221244</v>
      </c>
      <c r="AE340" s="1058">
        <f t="shared" si="105"/>
        <v>146.03333333334066</v>
      </c>
      <c r="AF340" s="1059">
        <f t="shared" si="105"/>
        <v>112.33333333334068</v>
      </c>
      <c r="AG340" s="1059">
        <f t="shared" si="105"/>
        <v>127.31111111110621</v>
      </c>
      <c r="AH340" s="1059">
        <f t="shared" si="105"/>
        <v>136.67222222221244</v>
      </c>
      <c r="AI340" s="1060">
        <f t="shared" si="105"/>
        <v>102.97222222221244</v>
      </c>
      <c r="AJ340" s="1060">
        <f t="shared" si="105"/>
        <v>117.95</v>
      </c>
      <c r="AK340" s="1060">
        <f t="shared" si="105"/>
        <v>127.31111111110621</v>
      </c>
      <c r="AN340" s="1064"/>
      <c r="AO340" s="1064"/>
      <c r="AP340" s="1064"/>
      <c r="AQ340" s="1064"/>
    </row>
    <row r="341" spans="8:8" ht="15.75" customHeight="1">
      <c r="D341" s="1049">
        <f>D340+0.2/72</f>
        <v>0.9388888888889567</v>
      </c>
      <c r="E341" s="1050">
        <f t="shared" si="102"/>
        <v>268.5222222222416</v>
      </c>
      <c r="F341" s="1050">
        <f t="shared" si="103"/>
        <v>283.54444444446494</v>
      </c>
      <c r="G341" s="1050">
        <f t="shared" si="103"/>
        <v>292.9333333333545</v>
      </c>
      <c r="H341" s="1051">
        <f t="shared" si="106"/>
        <v>249.7444444444421</v>
      </c>
      <c r="I341" s="1051">
        <f t="shared" si="106"/>
        <v>264.76666666667364</v>
      </c>
      <c r="J341" s="1051">
        <f t="shared" si="106"/>
        <v>274.1555555555579</v>
      </c>
      <c r="K341" s="1052">
        <f t="shared" si="106"/>
        <v>230.96666666667366</v>
      </c>
      <c r="L341" s="1052">
        <f t="shared" si="106"/>
        <v>245.98888888888422</v>
      </c>
      <c r="M341" s="1052">
        <f t="shared" si="106"/>
        <v>255.37777777777742</v>
      </c>
      <c r="N341" s="1053">
        <f t="shared" si="106"/>
        <v>169.0</v>
      </c>
      <c r="O341" s="1053">
        <f t="shared" si="106"/>
        <v>184.02222222223156</v>
      </c>
      <c r="P341" s="1053">
        <f t="shared" si="106"/>
        <v>193.4111111111158</v>
      </c>
      <c r="Q341" s="1054">
        <f t="shared" si="106"/>
        <v>159.61111111111578</v>
      </c>
      <c r="R341" s="1054">
        <f t="shared" si="108"/>
        <v>174.63333333332633</v>
      </c>
      <c r="S341" s="1054">
        <f t="shared" si="108"/>
        <v>184.02222222223156</v>
      </c>
      <c r="T341" s="1055">
        <f t="shared" si="108"/>
        <v>150.22222222223155</v>
      </c>
      <c r="U341" s="1055">
        <f t="shared" si="107"/>
        <v>165.2444444444421</v>
      </c>
      <c r="V341" s="1055">
        <f t="shared" si="107"/>
        <v>174.63333333332633</v>
      </c>
      <c r="W341" s="1056">
        <f t="shared" si="107"/>
        <v>140.83333333332635</v>
      </c>
      <c r="X341" s="1056">
        <f t="shared" si="107"/>
        <v>155.85555555555788</v>
      </c>
      <c r="Y341" s="1056">
        <f t="shared" si="105"/>
        <v>165.2444444444421</v>
      </c>
      <c r="Z341" s="1057">
        <f t="shared" si="105"/>
        <v>131.44444444444213</v>
      </c>
      <c r="AA341" s="1057">
        <f t="shared" si="105"/>
        <v>146.46666666667366</v>
      </c>
      <c r="AB341" s="1057">
        <f t="shared" si="105"/>
        <v>155.85555555555788</v>
      </c>
      <c r="AC341" s="1058">
        <f t="shared" si="105"/>
        <v>122.05555555555789</v>
      </c>
      <c r="AD341" s="1058">
        <f t="shared" si="105"/>
        <v>137.07777777776843</v>
      </c>
      <c r="AE341" s="1058">
        <f t="shared" si="105"/>
        <v>146.46666666667366</v>
      </c>
      <c r="AF341" s="1059">
        <f t="shared" si="105"/>
        <v>112.66666666667368</v>
      </c>
      <c r="AG341" s="1059">
        <f t="shared" si="105"/>
        <v>127.68888888888422</v>
      </c>
      <c r="AH341" s="1059">
        <f t="shared" si="105"/>
        <v>137.07777777776843</v>
      </c>
      <c r="AI341" s="1060">
        <f t="shared" si="105"/>
        <v>103.27777777776845</v>
      </c>
      <c r="AJ341" s="1060">
        <f t="shared" si="105"/>
        <v>118.30000000000001</v>
      </c>
      <c r="AK341" s="1060">
        <f t="shared" si="105"/>
        <v>127.68888888888422</v>
      </c>
      <c r="AN341" s="1064"/>
      <c r="AO341" s="1064"/>
      <c r="AP341" s="1064"/>
      <c r="AQ341" s="1064"/>
    </row>
    <row r="342" spans="8:8" ht="15.75" customHeight="1">
      <c r="D342" s="1049">
        <f>D341+0.2/72</f>
        <v>0.9416666666667348</v>
      </c>
      <c r="E342" s="1050">
        <f t="shared" si="102"/>
        <v>269.31666666668616</v>
      </c>
      <c r="F342" s="1050">
        <f t="shared" si="103"/>
        <v>284.3833333333539</v>
      </c>
      <c r="G342" s="1050">
        <f t="shared" si="103"/>
        <v>293.80000000002127</v>
      </c>
      <c r="H342" s="1051">
        <f t="shared" si="106"/>
        <v>250.48333333333113</v>
      </c>
      <c r="I342" s="1051">
        <f t="shared" si="106"/>
        <v>265.55000000000666</v>
      </c>
      <c r="J342" s="1051">
        <f t="shared" si="106"/>
        <v>274.96666666666886</v>
      </c>
      <c r="K342" s="1052">
        <f t="shared" si="106"/>
        <v>231.65000000000666</v>
      </c>
      <c r="L342" s="1052">
        <f t="shared" si="106"/>
        <v>246.7166666666622</v>
      </c>
      <c r="M342" s="1052">
        <f t="shared" si="106"/>
        <v>256.1333333333325</v>
      </c>
      <c r="N342" s="1053">
        <f t="shared" si="106"/>
        <v>169.5</v>
      </c>
      <c r="O342" s="1053">
        <f t="shared" si="106"/>
        <v>184.56666666667556</v>
      </c>
      <c r="P342" s="1053">
        <f t="shared" si="106"/>
        <v>193.98333333333778</v>
      </c>
      <c r="Q342" s="1054">
        <f t="shared" si="106"/>
        <v>160.08333333333778</v>
      </c>
      <c r="R342" s="1054">
        <f t="shared" si="108"/>
        <v>175.14999999999333</v>
      </c>
      <c r="S342" s="1054">
        <f t="shared" si="108"/>
        <v>184.56666666667556</v>
      </c>
      <c r="T342" s="1055">
        <f t="shared" si="108"/>
        <v>150.66666666667555</v>
      </c>
      <c r="U342" s="1055">
        <f t="shared" si="107"/>
        <v>165.73333333333113</v>
      </c>
      <c r="V342" s="1055">
        <f t="shared" si="107"/>
        <v>175.14999999999333</v>
      </c>
      <c r="W342" s="1056">
        <f t="shared" si="107"/>
        <v>141.24999999999335</v>
      </c>
      <c r="X342" s="1056">
        <f t="shared" si="107"/>
        <v>156.31666666666888</v>
      </c>
      <c r="Y342" s="1056">
        <f t="shared" si="105"/>
        <v>165.73333333333113</v>
      </c>
      <c r="Z342" s="1057">
        <f t="shared" si="105"/>
        <v>131.83333333333113</v>
      </c>
      <c r="AA342" s="1057">
        <f t="shared" si="105"/>
        <v>146.90000000000666</v>
      </c>
      <c r="AB342" s="1057">
        <f t="shared" si="105"/>
        <v>156.31666666666888</v>
      </c>
      <c r="AC342" s="1058">
        <f t="shared" si="105"/>
        <v>122.41666666666889</v>
      </c>
      <c r="AD342" s="1058">
        <f t="shared" si="105"/>
        <v>137.48333333332442</v>
      </c>
      <c r="AE342" s="1058">
        <f t="shared" si="105"/>
        <v>146.90000000000666</v>
      </c>
      <c r="AF342" s="1059">
        <f t="shared" si="105"/>
        <v>113.00000000000666</v>
      </c>
      <c r="AG342" s="1059">
        <f t="shared" si="105"/>
        <v>128.06666666666223</v>
      </c>
      <c r="AH342" s="1059">
        <f t="shared" si="105"/>
        <v>137.48333333332442</v>
      </c>
      <c r="AI342" s="1060">
        <f t="shared" si="105"/>
        <v>103.58333333332445</v>
      </c>
      <c r="AJ342" s="1060">
        <f t="shared" si="105"/>
        <v>118.65</v>
      </c>
      <c r="AK342" s="1060">
        <f t="shared" si="105"/>
        <v>128.06666666666223</v>
      </c>
      <c r="AN342" s="1064"/>
      <c r="AO342" s="1064"/>
      <c r="AP342" s="1064"/>
      <c r="AQ342" s="1064"/>
    </row>
    <row r="343" spans="8:8" ht="15.75" customHeight="1">
      <c r="D343" s="1049">
        <f>D342+0.2/72</f>
        <v>0.9444444444445128</v>
      </c>
      <c r="E343" s="1050">
        <f t="shared" si="102"/>
        <v>270.11111111113064</v>
      </c>
      <c r="F343" s="1050">
        <f t="shared" si="103"/>
        <v>285.22222222224286</v>
      </c>
      <c r="G343" s="1050">
        <f t="shared" si="103"/>
        <v>294.666666666688</v>
      </c>
      <c r="H343" s="1051">
        <f t="shared" si="106"/>
        <v>251.22222222222013</v>
      </c>
      <c r="I343" s="1051">
        <f t="shared" si="106"/>
        <v>266.3333333333396</v>
      </c>
      <c r="J343" s="1051">
        <f t="shared" si="106"/>
        <v>275.7777777777799</v>
      </c>
      <c r="K343" s="1052">
        <f t="shared" si="106"/>
        <v>232.33333333333965</v>
      </c>
      <c r="L343" s="1052">
        <f t="shared" si="106"/>
        <v>247.44444444444022</v>
      </c>
      <c r="M343" s="1052">
        <f t="shared" si="106"/>
        <v>256.88888888888846</v>
      </c>
      <c r="N343" s="1053">
        <f t="shared" si="106"/>
        <v>170.0</v>
      </c>
      <c r="O343" s="1053">
        <f t="shared" si="106"/>
        <v>185.11111111111956</v>
      </c>
      <c r="P343" s="1053">
        <f t="shared" si="106"/>
        <v>194.55555555555978</v>
      </c>
      <c r="Q343" s="1054">
        <f t="shared" si="106"/>
        <v>160.55555555555978</v>
      </c>
      <c r="R343" s="1054">
        <f t="shared" si="108"/>
        <v>175.66666666666032</v>
      </c>
      <c r="S343" s="1054">
        <f t="shared" si="108"/>
        <v>185.11111111111956</v>
      </c>
      <c r="T343" s="1055">
        <f t="shared" si="108"/>
        <v>151.11111111111956</v>
      </c>
      <c r="U343" s="1055">
        <f t="shared" si="107"/>
        <v>166.22222222222013</v>
      </c>
      <c r="V343" s="1055">
        <f t="shared" si="107"/>
        <v>175.66666666666032</v>
      </c>
      <c r="W343" s="1056">
        <f t="shared" si="107"/>
        <v>141.66666666666035</v>
      </c>
      <c r="X343" s="1056">
        <f t="shared" si="107"/>
        <v>156.7777777777799</v>
      </c>
      <c r="Y343" s="1056">
        <f t="shared" si="105"/>
        <v>166.22222222222013</v>
      </c>
      <c r="Z343" s="1057">
        <f t="shared" si="105"/>
        <v>132.22222222222013</v>
      </c>
      <c r="AA343" s="1057">
        <f t="shared" si="105"/>
        <v>147.33333333333965</v>
      </c>
      <c r="AB343" s="1057">
        <f t="shared" si="105"/>
        <v>156.7777777777799</v>
      </c>
      <c r="AC343" s="1058">
        <f t="shared" si="105"/>
        <v>122.77777777777989</v>
      </c>
      <c r="AD343" s="1058">
        <f t="shared" si="105"/>
        <v>137.88888888888044</v>
      </c>
      <c r="AE343" s="1058">
        <f t="shared" si="105"/>
        <v>147.33333333333965</v>
      </c>
      <c r="AF343" s="1059">
        <f t="shared" si="105"/>
        <v>113.33333333333967</v>
      </c>
      <c r="AG343" s="1059">
        <f t="shared" si="105"/>
        <v>128.44444444444022</v>
      </c>
      <c r="AH343" s="1059">
        <f t="shared" si="105"/>
        <v>137.88888888888044</v>
      </c>
      <c r="AI343" s="1060">
        <f t="shared" si="105"/>
        <v>103.88888888888044</v>
      </c>
      <c r="AJ343" s="1060">
        <f t="shared" si="105"/>
        <v>119.0</v>
      </c>
      <c r="AK343" s="1060">
        <f t="shared" si="105"/>
        <v>128.44444444444022</v>
      </c>
      <c r="AN343" s="1064"/>
      <c r="AO343" s="1064"/>
      <c r="AP343" s="1064"/>
      <c r="AQ343" s="1064"/>
    </row>
    <row r="344" spans="8:8" ht="15.75" customHeight="1">
      <c r="D344" s="1049">
        <f t="shared" si="104"/>
        <v>0.9472222222222908</v>
      </c>
      <c r="E344" s="1050">
        <f t="shared" si="102"/>
        <v>270.9055555555752</v>
      </c>
      <c r="F344" s="1050">
        <f t="shared" si="103"/>
        <v>286.0611111111318</v>
      </c>
      <c r="G344" s="1050">
        <f t="shared" si="103"/>
        <v>295.53333333335473</v>
      </c>
      <c r="H344" s="1051">
        <f t="shared" si="106"/>
        <v>251.96111111110912</v>
      </c>
      <c r="I344" s="1051">
        <f t="shared" si="106"/>
        <v>267.11666666667264</v>
      </c>
      <c r="J344" s="1051">
        <f t="shared" si="106"/>
        <v>276.5888888888909</v>
      </c>
      <c r="K344" s="1052">
        <f t="shared" si="106"/>
        <v>233.01666666667268</v>
      </c>
      <c r="L344" s="1052">
        <f t="shared" si="106"/>
        <v>248.1722222222182</v>
      </c>
      <c r="M344" s="1052">
        <f t="shared" si="106"/>
        <v>257.6444444444435</v>
      </c>
      <c r="N344" s="1053">
        <f t="shared" si="106"/>
        <v>170.5</v>
      </c>
      <c r="O344" s="1053">
        <f t="shared" si="106"/>
        <v>185.65555555556355</v>
      </c>
      <c r="P344" s="1053">
        <f t="shared" si="106"/>
        <v>195.12777777778177</v>
      </c>
      <c r="Q344" s="1054">
        <f t="shared" si="106"/>
        <v>161.02777777778178</v>
      </c>
      <c r="R344" s="1054">
        <f t="shared" si="108"/>
        <v>176.1833333333273</v>
      </c>
      <c r="S344" s="1054">
        <f t="shared" si="108"/>
        <v>185.65555555556355</v>
      </c>
      <c r="T344" s="1055">
        <f t="shared" si="108"/>
        <v>151.55555555556353</v>
      </c>
      <c r="U344" s="1055">
        <f t="shared" si="107"/>
        <v>166.71111111110912</v>
      </c>
      <c r="V344" s="1055">
        <f t="shared" si="107"/>
        <v>176.1833333333273</v>
      </c>
      <c r="W344" s="1056">
        <f t="shared" si="107"/>
        <v>142.08333333332735</v>
      </c>
      <c r="X344" s="1056">
        <f t="shared" si="107"/>
        <v>157.2388888888909</v>
      </c>
      <c r="Y344" s="1056">
        <f t="shared" si="105"/>
        <v>166.71111111110912</v>
      </c>
      <c r="Z344" s="1057">
        <f t="shared" si="105"/>
        <v>132.61111111110912</v>
      </c>
      <c r="AA344" s="1057">
        <f t="shared" si="105"/>
        <v>147.76666666667268</v>
      </c>
      <c r="AB344" s="1057">
        <f t="shared" si="105"/>
        <v>157.2388888888909</v>
      </c>
      <c r="AC344" s="1058">
        <f t="shared" si="105"/>
        <v>123.13888888889089</v>
      </c>
      <c r="AD344" s="1058">
        <f t="shared" si="105"/>
        <v>138.29444444443644</v>
      </c>
      <c r="AE344" s="1058">
        <f t="shared" si="105"/>
        <v>147.76666666667268</v>
      </c>
      <c r="AF344" s="1059">
        <f t="shared" si="105"/>
        <v>113.66666666667267</v>
      </c>
      <c r="AG344" s="1059">
        <f t="shared" si="105"/>
        <v>128.82222222221824</v>
      </c>
      <c r="AH344" s="1059">
        <f t="shared" si="105"/>
        <v>138.29444444443644</v>
      </c>
      <c r="AI344" s="1060">
        <f t="shared" si="105"/>
        <v>104.19444444443644</v>
      </c>
      <c r="AJ344" s="1060">
        <f t="shared" si="105"/>
        <v>119.35000000000001</v>
      </c>
      <c r="AK344" s="1060">
        <f t="shared" si="105"/>
        <v>128.82222222221824</v>
      </c>
      <c r="AN344" s="1064"/>
      <c r="AO344" s="1064"/>
      <c r="AP344" s="1064"/>
      <c r="AQ344" s="1064"/>
    </row>
    <row r="345" spans="8:8" ht="15.75" customHeight="1">
      <c r="D345" s="1049">
        <f t="shared" si="104"/>
        <v>0.9500000000000688</v>
      </c>
      <c r="E345" s="1050">
        <f t="shared" si="102"/>
        <v>271.70000000001966</v>
      </c>
      <c r="F345" s="1050">
        <f t="shared" si="103"/>
        <v>286.9000000000208</v>
      </c>
      <c r="G345" s="1050">
        <f t="shared" si="103"/>
        <v>296.40000000002146</v>
      </c>
      <c r="H345" s="1051">
        <f t="shared" si="106"/>
        <v>252.6999999999981</v>
      </c>
      <c r="I345" s="1051">
        <f t="shared" si="106"/>
        <v>267.90000000000566</v>
      </c>
      <c r="J345" s="1051">
        <f t="shared" si="106"/>
        <v>277.40000000000185</v>
      </c>
      <c r="K345" s="1052">
        <f t="shared" si="106"/>
        <v>233.70000000000567</v>
      </c>
      <c r="L345" s="1052">
        <f t="shared" si="106"/>
        <v>248.89999999999623</v>
      </c>
      <c r="M345" s="1052">
        <f t="shared" si="106"/>
        <v>258.39999999999947</v>
      </c>
      <c r="N345" s="1053">
        <f t="shared" si="106"/>
        <v>171.0</v>
      </c>
      <c r="O345" s="1053">
        <f t="shared" si="106"/>
        <v>186.20000000000755</v>
      </c>
      <c r="P345" s="1053">
        <f t="shared" si="106"/>
        <v>195.70000000000377</v>
      </c>
      <c r="Q345" s="1054">
        <f t="shared" si="106"/>
        <v>161.50000000000378</v>
      </c>
      <c r="R345" s="1054">
        <f t="shared" si="108"/>
        <v>176.69999999999433</v>
      </c>
      <c r="S345" s="1054">
        <f t="shared" si="108"/>
        <v>186.20000000000755</v>
      </c>
      <c r="T345" s="1055">
        <f t="shared" si="108"/>
        <v>152.00000000000753</v>
      </c>
      <c r="U345" s="1055">
        <f t="shared" si="107"/>
        <v>167.1999999999981</v>
      </c>
      <c r="V345" s="1055">
        <f t="shared" si="107"/>
        <v>176.69999999999433</v>
      </c>
      <c r="W345" s="1056">
        <f t="shared" si="107"/>
        <v>142.49999999999434</v>
      </c>
      <c r="X345" s="1056">
        <f t="shared" si="107"/>
        <v>157.7000000000019</v>
      </c>
      <c r="Y345" s="1056">
        <f t="shared" si="105"/>
        <v>167.1999999999981</v>
      </c>
      <c r="Z345" s="1057">
        <f t="shared" si="105"/>
        <v>132.99999999999812</v>
      </c>
      <c r="AA345" s="1057">
        <f t="shared" si="105"/>
        <v>148.20000000000567</v>
      </c>
      <c r="AB345" s="1057">
        <f t="shared" si="105"/>
        <v>157.7000000000019</v>
      </c>
      <c r="AC345" s="1058">
        <f t="shared" si="105"/>
        <v>123.50000000000189</v>
      </c>
      <c r="AD345" s="1058">
        <f t="shared" si="105"/>
        <v>138.69999999999243</v>
      </c>
      <c r="AE345" s="1058">
        <f t="shared" si="105"/>
        <v>148.20000000000567</v>
      </c>
      <c r="AF345" s="1059">
        <f t="shared" si="105"/>
        <v>114.00000000000567</v>
      </c>
      <c r="AG345" s="1059">
        <f t="shared" si="105"/>
        <v>129.19999999999624</v>
      </c>
      <c r="AH345" s="1059">
        <f t="shared" si="105"/>
        <v>138.69999999999243</v>
      </c>
      <c r="AI345" s="1060">
        <f t="shared" si="105"/>
        <v>104.49999999999244</v>
      </c>
      <c r="AJ345" s="1060">
        <f t="shared" si="105"/>
        <v>119.7</v>
      </c>
      <c r="AK345" s="1060">
        <f t="shared" si="105"/>
        <v>129.19999999999624</v>
      </c>
      <c r="AN345" s="1064"/>
      <c r="AO345" s="1064"/>
      <c r="AP345" s="1064"/>
      <c r="AQ345" s="1064"/>
    </row>
    <row r="346" spans="8:8" ht="15.75" customHeight="1">
      <c r="D346" s="1049">
        <f t="shared" si="104"/>
        <v>0.9527777777778468</v>
      </c>
      <c r="E346" s="1050">
        <f t="shared" si="102"/>
        <v>272.4944444444642</v>
      </c>
      <c r="F346" s="1050">
        <f t="shared" si="103"/>
        <v>287.73888888890974</v>
      </c>
      <c r="G346" s="1050">
        <f t="shared" si="103"/>
        <v>297.2666666666882</v>
      </c>
      <c r="H346" s="1051">
        <f t="shared" si="106"/>
        <v>253.4388888888871</v>
      </c>
      <c r="I346" s="1051">
        <f t="shared" si="106"/>
        <v>268.6833333333386</v>
      </c>
      <c r="J346" s="1051">
        <f t="shared" si="106"/>
        <v>278.21111111111287</v>
      </c>
      <c r="K346" s="1052">
        <f t="shared" si="106"/>
        <v>234.38333333333867</v>
      </c>
      <c r="L346" s="1052">
        <f t="shared" si="106"/>
        <v>249.6277777777742</v>
      </c>
      <c r="M346" s="1052">
        <f t="shared" si="106"/>
        <v>259.15555555555545</v>
      </c>
      <c r="N346" s="1053">
        <f t="shared" si="106"/>
        <v>171.5</v>
      </c>
      <c r="O346" s="1053">
        <f t="shared" si="106"/>
        <v>186.74444444445155</v>
      </c>
      <c r="P346" s="1053">
        <f t="shared" si="106"/>
        <v>196.27222222222576</v>
      </c>
      <c r="Q346" s="1054">
        <f t="shared" si="106"/>
        <v>161.97222222222578</v>
      </c>
      <c r="R346" s="1054">
        <f t="shared" si="108"/>
        <v>177.21666666666133</v>
      </c>
      <c r="S346" s="1054">
        <f t="shared" si="108"/>
        <v>186.74444444445155</v>
      </c>
      <c r="T346" s="1055">
        <f t="shared" si="108"/>
        <v>152.44444444445153</v>
      </c>
      <c r="U346" s="1055">
        <f t="shared" si="107"/>
        <v>167.6888888888871</v>
      </c>
      <c r="V346" s="1055">
        <f t="shared" si="107"/>
        <v>177.21666666666133</v>
      </c>
      <c r="W346" s="1056">
        <f t="shared" si="107"/>
        <v>142.91666666666134</v>
      </c>
      <c r="X346" s="1056">
        <f t="shared" si="107"/>
        <v>158.1611111111129</v>
      </c>
      <c r="Y346" s="1056">
        <f t="shared" si="105"/>
        <v>167.6888888888871</v>
      </c>
      <c r="Z346" s="1057">
        <f t="shared" si="105"/>
        <v>133.38888888888712</v>
      </c>
      <c r="AA346" s="1057">
        <f t="shared" si="105"/>
        <v>148.63333333333867</v>
      </c>
      <c r="AB346" s="1057">
        <f t="shared" si="105"/>
        <v>158.1611111111129</v>
      </c>
      <c r="AC346" s="1058">
        <f t="shared" si="105"/>
        <v>123.86111111111289</v>
      </c>
      <c r="AD346" s="1058">
        <f t="shared" si="105"/>
        <v>139.10555555554842</v>
      </c>
      <c r="AE346" s="1058">
        <f t="shared" si="105"/>
        <v>148.63333333333867</v>
      </c>
      <c r="AF346" s="1059">
        <f t="shared" si="105"/>
        <v>114.33333333333867</v>
      </c>
      <c r="AG346" s="1059">
        <f t="shared" si="105"/>
        <v>129.57777777777423</v>
      </c>
      <c r="AH346" s="1059">
        <f t="shared" si="105"/>
        <v>139.10555555554842</v>
      </c>
      <c r="AI346" s="1060">
        <f t="shared" si="105"/>
        <v>104.80555555554844</v>
      </c>
      <c r="AJ346" s="1060">
        <f t="shared" si="105"/>
        <v>120.05000000000001</v>
      </c>
      <c r="AK346" s="1060">
        <f t="shared" si="105"/>
        <v>129.57777777777423</v>
      </c>
      <c r="AN346" s="1064"/>
      <c r="AO346" s="1064"/>
      <c r="AP346" s="1064"/>
      <c r="AQ346" s="1064"/>
    </row>
    <row r="347" spans="8:8" ht="15.75" customHeight="1">
      <c r="D347" s="1049">
        <f t="shared" si="104"/>
        <v>0.9555555555556248</v>
      </c>
      <c r="E347" s="1050">
        <f t="shared" si="102"/>
        <v>273.2888888889087</v>
      </c>
      <c r="F347" s="1050">
        <f t="shared" si="103"/>
        <v>288.5777777777987</v>
      </c>
      <c r="G347" s="1050">
        <f t="shared" si="103"/>
        <v>298.1333333333549</v>
      </c>
      <c r="H347" s="1051">
        <f t="shared" si="106"/>
        <v>254.17777777777613</v>
      </c>
      <c r="I347" s="1051">
        <f t="shared" si="106"/>
        <v>269.46666666667164</v>
      </c>
      <c r="J347" s="1051">
        <f t="shared" si="106"/>
        <v>279.0222222222239</v>
      </c>
      <c r="K347" s="1052">
        <f t="shared" si="106"/>
        <v>235.06666666667167</v>
      </c>
      <c r="L347" s="1052">
        <f t="shared" si="106"/>
        <v>250.3555555555522</v>
      </c>
      <c r="M347" s="1052">
        <f t="shared" si="106"/>
        <v>259.9111111111105</v>
      </c>
      <c r="N347" s="1053">
        <f t="shared" si="106"/>
        <v>172.0</v>
      </c>
      <c r="O347" s="1053">
        <f t="shared" si="106"/>
        <v>187.28888888889554</v>
      </c>
      <c r="P347" s="1053">
        <f t="shared" si="106"/>
        <v>196.8444444444478</v>
      </c>
      <c r="Q347" s="1054">
        <f t="shared" si="106"/>
        <v>162.44444444444778</v>
      </c>
      <c r="R347" s="1054">
        <f t="shared" si="108"/>
        <v>177.73333333332832</v>
      </c>
      <c r="S347" s="1054">
        <f t="shared" si="108"/>
        <v>187.28888888889554</v>
      </c>
      <c r="T347" s="1055">
        <f t="shared" si="108"/>
        <v>152.88888888889554</v>
      </c>
      <c r="U347" s="1055">
        <f t="shared" si="107"/>
        <v>168.17777777777613</v>
      </c>
      <c r="V347" s="1055">
        <f t="shared" si="107"/>
        <v>177.73333333332832</v>
      </c>
      <c r="W347" s="1056">
        <f t="shared" si="107"/>
        <v>143.33333333332834</v>
      </c>
      <c r="X347" s="1056">
        <f t="shared" si="107"/>
        <v>158.62222222222388</v>
      </c>
      <c r="Y347" s="1056">
        <f t="shared" si="105"/>
        <v>168.17777777777613</v>
      </c>
      <c r="Z347" s="1057">
        <f t="shared" si="105"/>
        <v>133.77777777777612</v>
      </c>
      <c r="AA347" s="1057">
        <f t="shared" si="105"/>
        <v>149.06666666667167</v>
      </c>
      <c r="AB347" s="1057">
        <f t="shared" si="105"/>
        <v>158.62222222222388</v>
      </c>
      <c r="AC347" s="1058">
        <f t="shared" si="105"/>
        <v>124.22222222222389</v>
      </c>
      <c r="AD347" s="1058">
        <f t="shared" si="105"/>
        <v>139.51111111110444</v>
      </c>
      <c r="AE347" s="1058">
        <f t="shared" si="105"/>
        <v>149.06666666667167</v>
      </c>
      <c r="AF347" s="1059">
        <f t="shared" si="105"/>
        <v>114.66666666667167</v>
      </c>
      <c r="AG347" s="1059">
        <f t="shared" si="105"/>
        <v>129.95555555555222</v>
      </c>
      <c r="AH347" s="1059">
        <f t="shared" si="105"/>
        <v>139.51111111110444</v>
      </c>
      <c r="AI347" s="1060">
        <f t="shared" si="105"/>
        <v>105.11111111110445</v>
      </c>
      <c r="AJ347" s="1060">
        <f t="shared" si="105"/>
        <v>120.4</v>
      </c>
      <c r="AK347" s="1060">
        <f t="shared" si="105"/>
        <v>129.95555555555222</v>
      </c>
      <c r="AN347" s="1064"/>
      <c r="AO347" s="1064"/>
      <c r="AP347" s="1064"/>
      <c r="AQ347" s="1064"/>
    </row>
    <row r="348" spans="8:8" ht="15.75" customHeight="1">
      <c r="D348" s="1049">
        <f t="shared" si="104"/>
        <v>0.9583333333334028</v>
      </c>
      <c r="E348" s="1050">
        <f t="shared" si="102"/>
        <v>274.0833333333532</v>
      </c>
      <c r="F348" s="1050">
        <f t="shared" si="103"/>
        <v>289.41666666668766</v>
      </c>
      <c r="G348" s="1050">
        <f t="shared" si="103"/>
        <v>299.00000000002166</v>
      </c>
      <c r="H348" s="1051">
        <f t="shared" si="108"/>
        <v>254.91666666666512</v>
      </c>
      <c r="I348" s="1051">
        <f t="shared" si="108"/>
        <v>270.25000000000466</v>
      </c>
      <c r="J348" s="1051">
        <f t="shared" si="108"/>
        <v>279.83333333333485</v>
      </c>
      <c r="K348" s="1052">
        <f t="shared" si="108"/>
        <v>235.75000000000466</v>
      </c>
      <c r="L348" s="1052">
        <f t="shared" si="108"/>
        <v>251.08333333333022</v>
      </c>
      <c r="M348" s="1052">
        <f t="shared" si="108"/>
        <v>260.66666666666646</v>
      </c>
      <c r="N348" s="1053">
        <f t="shared" si="108"/>
        <v>172.5</v>
      </c>
      <c r="O348" s="1053">
        <f t="shared" si="108"/>
        <v>187.83333333333954</v>
      </c>
      <c r="P348" s="1053">
        <f t="shared" si="108"/>
        <v>197.41666666666978</v>
      </c>
      <c r="Q348" s="1054">
        <f t="shared" si="108"/>
        <v>162.91666666666978</v>
      </c>
      <c r="R348" s="1054">
        <f t="shared" si="108"/>
        <v>178.2499999999953</v>
      </c>
      <c r="S348" s="1054">
        <f t="shared" si="108"/>
        <v>187.83333333333954</v>
      </c>
      <c r="T348" s="1055">
        <f t="shared" si="108"/>
        <v>153.33333333333954</v>
      </c>
      <c r="U348" s="1055">
        <f t="shared" si="107"/>
        <v>168.66666666666512</v>
      </c>
      <c r="V348" s="1055">
        <f t="shared" si="107"/>
        <v>178.2499999999953</v>
      </c>
      <c r="W348" s="1056">
        <f t="shared" si="107"/>
        <v>143.74999999999534</v>
      </c>
      <c r="X348" s="1056">
        <f t="shared" si="107"/>
        <v>159.08333333333488</v>
      </c>
      <c r="Y348" s="1056">
        <f t="shared" si="105"/>
        <v>168.66666666666512</v>
      </c>
      <c r="Z348" s="1057">
        <f t="shared" si="105"/>
        <v>134.16666666666512</v>
      </c>
      <c r="AA348" s="1057">
        <f t="shared" si="105"/>
        <v>149.50000000000466</v>
      </c>
      <c r="AB348" s="1057">
        <f t="shared" si="105"/>
        <v>159.08333333333488</v>
      </c>
      <c r="AC348" s="1058">
        <f t="shared" si="105"/>
        <v>124.58333333333489</v>
      </c>
      <c r="AD348" s="1058">
        <f t="shared" si="105"/>
        <v>139.91666666666043</v>
      </c>
      <c r="AE348" s="1058">
        <f t="shared" si="105"/>
        <v>149.50000000000466</v>
      </c>
      <c r="AF348" s="1059">
        <f t="shared" si="105"/>
        <v>115.00000000000468</v>
      </c>
      <c r="AG348" s="1059">
        <f t="shared" si="105"/>
        <v>130.33333333333024</v>
      </c>
      <c r="AH348" s="1059">
        <f t="shared" si="105"/>
        <v>139.91666666666043</v>
      </c>
      <c r="AI348" s="1060">
        <f t="shared" si="105"/>
        <v>105.41666666666045</v>
      </c>
      <c r="AJ348" s="1060">
        <f t="shared" si="105"/>
        <v>120.75</v>
      </c>
      <c r="AK348" s="1060">
        <f t="shared" si="109" ref="AK348:AK362">AK349-(AK$363/360)</f>
        <v>130.33333333333024</v>
      </c>
      <c r="AN348" s="1064"/>
      <c r="AO348" s="1064"/>
      <c r="AP348" s="1064"/>
      <c r="AQ348" s="1064"/>
    </row>
    <row r="349" spans="8:8" ht="15.75" customHeight="1">
      <c r="D349" s="1049">
        <f t="shared" si="104"/>
        <v>0.9611111111111807</v>
      </c>
      <c r="E349" s="1050">
        <f t="shared" si="102"/>
        <v>274.8777777777977</v>
      </c>
      <c r="F349" s="1050">
        <f t="shared" si="103"/>
        <v>290.25555555557656</v>
      </c>
      <c r="G349" s="1050">
        <f t="shared" si="103"/>
        <v>299.8666666666884</v>
      </c>
      <c r="H349" s="1051">
        <f t="shared" si="108"/>
        <v>255.65555555555414</v>
      </c>
      <c r="I349" s="1051">
        <f t="shared" si="108"/>
        <v>271.0333333333376</v>
      </c>
      <c r="J349" s="1051">
        <f t="shared" si="108"/>
        <v>280.64444444444587</v>
      </c>
      <c r="K349" s="1052">
        <f t="shared" si="108"/>
        <v>236.43333333333766</v>
      </c>
      <c r="L349" s="1052">
        <f t="shared" si="108"/>
        <v>251.8111111111082</v>
      </c>
      <c r="M349" s="1052">
        <f t="shared" si="108"/>
        <v>261.4222222222215</v>
      </c>
      <c r="N349" s="1053">
        <f t="shared" si="108"/>
        <v>173.0</v>
      </c>
      <c r="O349" s="1053">
        <f t="shared" si="108"/>
        <v>188.37777777778354</v>
      </c>
      <c r="P349" s="1053">
        <f t="shared" si="108"/>
        <v>197.98888888889178</v>
      </c>
      <c r="Q349" s="1054">
        <f t="shared" si="108"/>
        <v>163.38888888889178</v>
      </c>
      <c r="R349" s="1054">
        <f t="shared" si="108"/>
        <v>178.76666666666233</v>
      </c>
      <c r="S349" s="1054">
        <f t="shared" si="108"/>
        <v>188.37777777778354</v>
      </c>
      <c r="T349" s="1055">
        <f t="shared" si="108"/>
        <v>153.77777777778354</v>
      </c>
      <c r="U349" s="1055">
        <f t="shared" si="107"/>
        <v>169.15555555555412</v>
      </c>
      <c r="V349" s="1055">
        <f t="shared" si="107"/>
        <v>178.76666666666233</v>
      </c>
      <c r="W349" s="1056">
        <f t="shared" si="107"/>
        <v>144.16666666666234</v>
      </c>
      <c r="X349" s="1056">
        <f t="shared" si="107"/>
        <v>159.5444444444459</v>
      </c>
      <c r="Y349" s="1056">
        <f t="shared" si="107"/>
        <v>169.15555555555412</v>
      </c>
      <c r="Z349" s="1057">
        <f t="shared" si="107"/>
        <v>134.55555555555412</v>
      </c>
      <c r="AA349" s="1057">
        <f t="shared" si="107"/>
        <v>149.93333333333766</v>
      </c>
      <c r="AB349" s="1057">
        <f t="shared" si="107"/>
        <v>159.5444444444459</v>
      </c>
      <c r="AC349" s="1058">
        <f t="shared" si="107"/>
        <v>124.94444444444589</v>
      </c>
      <c r="AD349" s="1058">
        <f t="shared" si="107"/>
        <v>140.32222222221642</v>
      </c>
      <c r="AE349" s="1058">
        <f t="shared" si="107"/>
        <v>149.93333333333766</v>
      </c>
      <c r="AF349" s="1059">
        <f t="shared" si="107"/>
        <v>115.33333333333768</v>
      </c>
      <c r="AG349" s="1059">
        <f t="shared" si="107"/>
        <v>130.71111111110824</v>
      </c>
      <c r="AH349" s="1059">
        <f t="shared" si="107"/>
        <v>140.32222222221642</v>
      </c>
      <c r="AI349" s="1060">
        <f t="shared" si="107"/>
        <v>105.72222222221644</v>
      </c>
      <c r="AJ349" s="1060">
        <f t="shared" si="107"/>
        <v>121.10000000000001</v>
      </c>
      <c r="AK349" s="1060">
        <f t="shared" si="109"/>
        <v>130.71111111110824</v>
      </c>
      <c r="AN349" s="1064"/>
      <c r="AO349" s="1064"/>
      <c r="AP349" s="1064"/>
      <c r="AQ349" s="1064"/>
    </row>
    <row r="350" spans="8:8" ht="15.75" customHeight="1">
      <c r="D350" s="1049">
        <f t="shared" si="104"/>
        <v>0.9638888888889587</v>
      </c>
      <c r="E350" s="1050">
        <f t="shared" si="102"/>
        <v>275.6722222222422</v>
      </c>
      <c r="F350" s="1050">
        <f t="shared" si="103"/>
        <v>291.0944444444655</v>
      </c>
      <c r="G350" s="1050">
        <f t="shared" si="103"/>
        <v>300.7333333333551</v>
      </c>
      <c r="H350" s="1051">
        <f t="shared" si="108"/>
        <v>256.39444444444314</v>
      </c>
      <c r="I350" s="1051">
        <f t="shared" si="108"/>
        <v>271.81666666667064</v>
      </c>
      <c r="J350" s="1051">
        <f t="shared" si="108"/>
        <v>281.4555555555569</v>
      </c>
      <c r="K350" s="1052">
        <f t="shared" si="108"/>
        <v>237.11666666667065</v>
      </c>
      <c r="L350" s="1052">
        <f t="shared" si="108"/>
        <v>252.53888888888622</v>
      </c>
      <c r="M350" s="1052">
        <f t="shared" si="108"/>
        <v>262.17777777777746</v>
      </c>
      <c r="N350" s="1053">
        <f t="shared" si="108"/>
        <v>173.5</v>
      </c>
      <c r="O350" s="1053">
        <f t="shared" si="108"/>
        <v>188.92222222222756</v>
      </c>
      <c r="P350" s="1053">
        <f t="shared" si="108"/>
        <v>198.56111111111377</v>
      </c>
      <c r="Q350" s="1054">
        <f t="shared" si="108"/>
        <v>163.86111111111376</v>
      </c>
      <c r="R350" s="1054">
        <f t="shared" si="108"/>
        <v>179.28333333332932</v>
      </c>
      <c r="S350" s="1054">
        <f t="shared" si="108"/>
        <v>188.92222222222756</v>
      </c>
      <c r="T350" s="1055">
        <f t="shared" si="108"/>
        <v>154.22222222222754</v>
      </c>
      <c r="U350" s="1055">
        <f t="shared" si="107"/>
        <v>169.6444444444431</v>
      </c>
      <c r="V350" s="1055">
        <f t="shared" si="107"/>
        <v>179.28333333332932</v>
      </c>
      <c r="W350" s="1056">
        <f t="shared" si="107"/>
        <v>144.58333333332934</v>
      </c>
      <c r="X350" s="1056">
        <f t="shared" si="107"/>
        <v>160.0055555555569</v>
      </c>
      <c r="Y350" s="1056">
        <f t="shared" si="107"/>
        <v>169.6444444444431</v>
      </c>
      <c r="Z350" s="1057">
        <f t="shared" si="107"/>
        <v>134.94444444444312</v>
      </c>
      <c r="AA350" s="1057">
        <f t="shared" si="107"/>
        <v>150.36666666667065</v>
      </c>
      <c r="AB350" s="1057">
        <f t="shared" si="107"/>
        <v>160.0055555555569</v>
      </c>
      <c r="AC350" s="1058">
        <f t="shared" si="107"/>
        <v>125.30555555555688</v>
      </c>
      <c r="AD350" s="1058">
        <f t="shared" si="107"/>
        <v>140.72777777777245</v>
      </c>
      <c r="AE350" s="1058">
        <f t="shared" si="107"/>
        <v>150.36666666667065</v>
      </c>
      <c r="AF350" s="1059">
        <f t="shared" si="107"/>
        <v>115.66666666667066</v>
      </c>
      <c r="AG350" s="1059">
        <f t="shared" si="107"/>
        <v>131.08888888888623</v>
      </c>
      <c r="AH350" s="1059">
        <f t="shared" si="107"/>
        <v>140.72777777777245</v>
      </c>
      <c r="AI350" s="1060">
        <f t="shared" si="107"/>
        <v>106.02777777777244</v>
      </c>
      <c r="AJ350" s="1060">
        <f t="shared" si="107"/>
        <v>121.45</v>
      </c>
      <c r="AK350" s="1060">
        <f t="shared" si="109"/>
        <v>131.08888888888623</v>
      </c>
    </row>
    <row r="351" spans="8:8" ht="15.75" customHeight="1">
      <c r="D351" s="1049">
        <f t="shared" si="104"/>
        <v>0.9666666666667367</v>
      </c>
      <c r="E351" s="1050">
        <f t="shared" si="102"/>
        <v>276.4666666666867</v>
      </c>
      <c r="F351" s="1050">
        <f t="shared" si="103"/>
        <v>291.9333333333545</v>
      </c>
      <c r="G351" s="1050">
        <f t="shared" si="103"/>
        <v>301.60000000002185</v>
      </c>
      <c r="H351" s="1051">
        <f t="shared" si="110" ref="H351:T362">H352-(H$363/360)</f>
        <v>257.13333333333213</v>
      </c>
      <c r="I351" s="1051">
        <f t="shared" si="110"/>
        <v>272.60000000000366</v>
      </c>
      <c r="J351" s="1051">
        <f t="shared" si="110"/>
        <v>282.26666666666785</v>
      </c>
      <c r="K351" s="1052">
        <f t="shared" si="110"/>
        <v>237.80000000000365</v>
      </c>
      <c r="L351" s="1052">
        <f t="shared" si="110"/>
        <v>253.2666666666642</v>
      </c>
      <c r="M351" s="1052">
        <f t="shared" si="110"/>
        <v>262.9333333333325</v>
      </c>
      <c r="N351" s="1053">
        <f t="shared" si="110"/>
        <v>174.0</v>
      </c>
      <c r="O351" s="1053">
        <f t="shared" si="110"/>
        <v>189.46666666667156</v>
      </c>
      <c r="P351" s="1053">
        <f t="shared" si="110"/>
        <v>199.13333333333577</v>
      </c>
      <c r="Q351" s="1054">
        <f t="shared" si="110"/>
        <v>164.33333333333576</v>
      </c>
      <c r="R351" s="1054">
        <f t="shared" si="110"/>
        <v>179.79999999999632</v>
      </c>
      <c r="S351" s="1054">
        <f t="shared" si="110"/>
        <v>189.46666666667156</v>
      </c>
      <c r="T351" s="1055">
        <f t="shared" si="110"/>
        <v>154.66666666667155</v>
      </c>
      <c r="U351" s="1055">
        <f t="shared" si="107"/>
        <v>170.13333333333213</v>
      </c>
      <c r="V351" s="1055">
        <f t="shared" si="107"/>
        <v>179.79999999999632</v>
      </c>
      <c r="W351" s="1056">
        <f t="shared" si="107"/>
        <v>144.99999999999633</v>
      </c>
      <c r="X351" s="1056">
        <f t="shared" si="107"/>
        <v>160.4666666666679</v>
      </c>
      <c r="Y351" s="1056">
        <f t="shared" si="107"/>
        <v>170.13333333333213</v>
      </c>
      <c r="Z351" s="1057">
        <f t="shared" si="107"/>
        <v>135.33333333333212</v>
      </c>
      <c r="AA351" s="1057">
        <f t="shared" si="107"/>
        <v>150.80000000000365</v>
      </c>
      <c r="AB351" s="1057">
        <f t="shared" si="107"/>
        <v>160.4666666666679</v>
      </c>
      <c r="AC351" s="1058">
        <f t="shared" si="107"/>
        <v>125.66666666666788</v>
      </c>
      <c r="AD351" s="1058">
        <f t="shared" si="107"/>
        <v>141.13333333332844</v>
      </c>
      <c r="AE351" s="1058">
        <f t="shared" si="107"/>
        <v>150.80000000000365</v>
      </c>
      <c r="AF351" s="1059">
        <f t="shared" si="107"/>
        <v>116.00000000000367</v>
      </c>
      <c r="AG351" s="1059">
        <f t="shared" si="107"/>
        <v>131.46666666666422</v>
      </c>
      <c r="AH351" s="1059">
        <f t="shared" si="107"/>
        <v>141.13333333332844</v>
      </c>
      <c r="AI351" s="1060">
        <f t="shared" si="107"/>
        <v>106.33333333332844</v>
      </c>
      <c r="AJ351" s="1060">
        <f t="shared" si="107"/>
        <v>121.80000000000001</v>
      </c>
      <c r="AK351" s="1060">
        <f t="shared" si="109"/>
        <v>131.46666666666422</v>
      </c>
    </row>
    <row r="352" spans="8:8" ht="15.75" customHeight="1">
      <c r="D352" s="1049">
        <f t="shared" si="104"/>
        <v>0.9694444444445147</v>
      </c>
      <c r="E352" s="1050">
        <f t="shared" si="102"/>
        <v>277.2611111111312</v>
      </c>
      <c r="F352" s="1050">
        <f t="shared" si="103"/>
        <v>292.77222222224344</v>
      </c>
      <c r="G352" s="1050">
        <f t="shared" si="103"/>
        <v>302.4666666666886</v>
      </c>
      <c r="H352" s="1051">
        <f t="shared" si="110"/>
        <v>257.8722222222211</v>
      </c>
      <c r="I352" s="1051">
        <f t="shared" si="110"/>
        <v>273.3833333333366</v>
      </c>
      <c r="J352" s="1051">
        <f t="shared" si="110"/>
        <v>283.07777777777886</v>
      </c>
      <c r="K352" s="1052">
        <f t="shared" si="110"/>
        <v>238.48333333333667</v>
      </c>
      <c r="L352" s="1052">
        <f>L353-(L$363/360)</f>
        <v>253.99444444444222</v>
      </c>
      <c r="M352" s="1052">
        <f t="shared" si="110"/>
        <v>263.68888888888847</v>
      </c>
      <c r="N352" s="1053">
        <f t="shared" si="110"/>
        <v>174.5</v>
      </c>
      <c r="O352" s="1053">
        <f t="shared" si="110"/>
        <v>190.01111111111555</v>
      </c>
      <c r="P352" s="1053">
        <f t="shared" si="110"/>
        <v>199.70555555555777</v>
      </c>
      <c r="Q352" s="1054">
        <f t="shared" si="110"/>
        <v>164.80555555555776</v>
      </c>
      <c r="R352" s="1054">
        <f t="shared" si="110"/>
        <v>180.3166666666633</v>
      </c>
      <c r="S352" s="1054">
        <f t="shared" si="110"/>
        <v>190.01111111111555</v>
      </c>
      <c r="T352" s="1055">
        <f t="shared" si="110"/>
        <v>155.11111111111555</v>
      </c>
      <c r="U352" s="1055">
        <f t="shared" si="107"/>
        <v>170.62222222222113</v>
      </c>
      <c r="V352" s="1055">
        <f t="shared" si="107"/>
        <v>180.3166666666633</v>
      </c>
      <c r="W352" s="1056">
        <f t="shared" si="107"/>
        <v>145.41666666666333</v>
      </c>
      <c r="X352" s="1056">
        <f t="shared" si="107"/>
        <v>160.92777777777889</v>
      </c>
      <c r="Y352" s="1056">
        <f t="shared" si="107"/>
        <v>170.62222222222113</v>
      </c>
      <c r="Z352" s="1057">
        <f t="shared" si="107"/>
        <v>135.72222222222112</v>
      </c>
      <c r="AA352" s="1057">
        <f t="shared" si="107"/>
        <v>151.23333333333667</v>
      </c>
      <c r="AB352" s="1057">
        <f t="shared" si="107"/>
        <v>160.92777777777889</v>
      </c>
      <c r="AC352" s="1058">
        <f t="shared" si="107"/>
        <v>126.02777777777888</v>
      </c>
      <c r="AD352" s="1058">
        <f t="shared" si="107"/>
        <v>141.53888888888443</v>
      </c>
      <c r="AE352" s="1058">
        <f t="shared" si="107"/>
        <v>151.23333333333667</v>
      </c>
      <c r="AF352" s="1059">
        <f t="shared" si="107"/>
        <v>116.33333333333667</v>
      </c>
      <c r="AG352" s="1059">
        <f t="shared" si="107"/>
        <v>131.84444444444225</v>
      </c>
      <c r="AH352" s="1059">
        <f t="shared" si="107"/>
        <v>141.53888888888443</v>
      </c>
      <c r="AI352" s="1060">
        <f t="shared" si="107"/>
        <v>106.63888888888444</v>
      </c>
      <c r="AJ352" s="1060">
        <f t="shared" si="107"/>
        <v>122.15</v>
      </c>
      <c r="AK352" s="1060">
        <f t="shared" si="109"/>
        <v>131.84444444444225</v>
      </c>
    </row>
    <row r="353" spans="8:8" ht="15.75" customHeight="1">
      <c r="D353" s="1049">
        <f t="shared" si="104"/>
        <v>0.9722222222222928</v>
      </c>
      <c r="E353" s="1050">
        <f t="shared" si="102"/>
        <v>278.0555555555757</v>
      </c>
      <c r="F353" s="1050">
        <f>F$363*$D353</f>
        <v>293.61111111113246</v>
      </c>
      <c r="G353" s="1050">
        <f t="shared" si="103"/>
        <v>303.33333333335537</v>
      </c>
      <c r="H353" s="1051">
        <f t="shared" si="110"/>
        <v>258.6111111111101</v>
      </c>
      <c r="I353" s="1051">
        <f t="shared" si="110"/>
        <v>274.16666666666964</v>
      </c>
      <c r="J353" s="1051">
        <f t="shared" si="110"/>
        <v>283.8888888888899</v>
      </c>
      <c r="K353" s="1052">
        <f t="shared" si="110"/>
        <v>239.16666666666967</v>
      </c>
      <c r="L353" s="1052">
        <f t="shared" si="110"/>
        <v>254.7222222222202</v>
      </c>
      <c r="M353" s="1052">
        <f t="shared" si="110"/>
        <v>264.44444444444446</v>
      </c>
      <c r="N353" s="1053">
        <f t="shared" si="110"/>
        <v>175.0</v>
      </c>
      <c r="O353" s="1053">
        <f t="shared" si="110"/>
        <v>190.55555555555955</v>
      </c>
      <c r="P353" s="1053">
        <f t="shared" si="110"/>
        <v>200.2777777777798</v>
      </c>
      <c r="Q353" s="1054">
        <f t="shared" si="110"/>
        <v>165.27777777777976</v>
      </c>
      <c r="R353" s="1054">
        <f t="shared" si="110"/>
        <v>180.83333333333033</v>
      </c>
      <c r="S353" s="1054">
        <f t="shared" si="110"/>
        <v>190.55555555555955</v>
      </c>
      <c r="T353" s="1055">
        <f t="shared" si="110"/>
        <v>155.55555555555955</v>
      </c>
      <c r="U353" s="1055">
        <f t="shared" si="107"/>
        <v>171.11111111111012</v>
      </c>
      <c r="V353" s="1055">
        <f t="shared" si="107"/>
        <v>180.83333333333033</v>
      </c>
      <c r="W353" s="1056">
        <f t="shared" si="107"/>
        <v>145.83333333333033</v>
      </c>
      <c r="X353" s="1056">
        <f t="shared" si="107"/>
        <v>161.38888888888988</v>
      </c>
      <c r="Y353" s="1056">
        <f t="shared" si="107"/>
        <v>171.11111111111012</v>
      </c>
      <c r="Z353" s="1057">
        <f t="shared" si="107"/>
        <v>136.11111111111012</v>
      </c>
      <c r="AA353" s="1057">
        <f t="shared" si="107"/>
        <v>151.66666666666967</v>
      </c>
      <c r="AB353" s="1057">
        <f t="shared" si="107"/>
        <v>161.38888888888988</v>
      </c>
      <c r="AC353" s="1058">
        <f t="shared" si="107"/>
        <v>126.38888888888988</v>
      </c>
      <c r="AD353" s="1058">
        <f t="shared" si="107"/>
        <v>141.94444444444042</v>
      </c>
      <c r="AE353" s="1058">
        <f t="shared" si="107"/>
        <v>151.66666666666967</v>
      </c>
      <c r="AF353" s="1059">
        <f t="shared" si="107"/>
        <v>116.66666666666967</v>
      </c>
      <c r="AG353" s="1059">
        <f t="shared" si="107"/>
        <v>132.22222222222024</v>
      </c>
      <c r="AH353" s="1059">
        <f t="shared" si="107"/>
        <v>141.94444444444042</v>
      </c>
      <c r="AI353" s="1060">
        <f t="shared" si="107"/>
        <v>106.94444444444045</v>
      </c>
      <c r="AJ353" s="1060">
        <f t="shared" si="107"/>
        <v>122.5</v>
      </c>
      <c r="AK353" s="1060">
        <f t="shared" si="109"/>
        <v>132.22222222222024</v>
      </c>
    </row>
    <row r="354" spans="8:8" ht="15.75" customHeight="1">
      <c r="D354" s="1049">
        <f t="shared" si="104"/>
        <v>0.9750000000000708</v>
      </c>
      <c r="E354" s="1063">
        <f>E$363*D354+0.01</f>
        <v>278.86000000001997</v>
      </c>
      <c r="F354" s="1063">
        <f>F$363*$D354+0.01</f>
        <v>294.460000000021</v>
      </c>
      <c r="G354" s="1050">
        <f t="shared" si="103"/>
        <v>304.2000000000221</v>
      </c>
      <c r="H354" s="1051">
        <f t="shared" si="110"/>
        <v>259.3499999999991</v>
      </c>
      <c r="I354" s="1051">
        <f t="shared" si="110"/>
        <v>274.95000000000266</v>
      </c>
      <c r="J354" s="1051">
        <f t="shared" si="110"/>
        <v>284.70000000000084</v>
      </c>
      <c r="K354" s="1052">
        <f t="shared" si="110"/>
        <v>239.85000000000267</v>
      </c>
      <c r="L354" s="1052">
        <f t="shared" si="110"/>
        <v>255.4499999999982</v>
      </c>
      <c r="M354" s="1052">
        <f t="shared" si="110"/>
        <v>265.1999999999995</v>
      </c>
      <c r="N354" s="1053">
        <f t="shared" si="110"/>
        <v>175.5</v>
      </c>
      <c r="O354" s="1053">
        <f t="shared" si="110"/>
        <v>191.10000000000355</v>
      </c>
      <c r="P354" s="1053">
        <f t="shared" si="110"/>
        <v>200.85000000000178</v>
      </c>
      <c r="Q354" s="1054">
        <f t="shared" si="110"/>
        <v>165.75000000000176</v>
      </c>
      <c r="R354" s="1054">
        <f t="shared" si="110"/>
        <v>181.34999999999732</v>
      </c>
      <c r="S354" s="1054">
        <f t="shared" si="110"/>
        <v>191.10000000000355</v>
      </c>
      <c r="T354" s="1055">
        <f t="shared" si="110"/>
        <v>156.00000000000355</v>
      </c>
      <c r="U354" s="1055">
        <f t="shared" si="107"/>
        <v>171.5999999999991</v>
      </c>
      <c r="V354" s="1055">
        <f t="shared" si="107"/>
        <v>181.34999999999732</v>
      </c>
      <c r="W354" s="1056">
        <f t="shared" si="107"/>
        <v>146.24999999999736</v>
      </c>
      <c r="X354" s="1056">
        <f t="shared" si="107"/>
        <v>161.8500000000009</v>
      </c>
      <c r="Y354" s="1056">
        <f t="shared" si="107"/>
        <v>171.5999999999991</v>
      </c>
      <c r="Z354" s="1057">
        <f t="shared" si="107"/>
        <v>136.49999999999912</v>
      </c>
      <c r="AA354" s="1057">
        <f t="shared" si="107"/>
        <v>152.10000000000267</v>
      </c>
      <c r="AB354" s="1057">
        <f t="shared" si="107"/>
        <v>161.8500000000009</v>
      </c>
      <c r="AC354" s="1058">
        <f t="shared" si="107"/>
        <v>126.75000000000088</v>
      </c>
      <c r="AD354" s="1058">
        <f t="shared" si="107"/>
        <v>142.34999999999644</v>
      </c>
      <c r="AE354" s="1058">
        <f t="shared" si="107"/>
        <v>152.10000000000267</v>
      </c>
      <c r="AF354" s="1059">
        <f t="shared" si="107"/>
        <v>117.00000000000267</v>
      </c>
      <c r="AG354" s="1059">
        <f t="shared" si="107"/>
        <v>132.59999999999823</v>
      </c>
      <c r="AH354" s="1059">
        <f t="shared" si="107"/>
        <v>142.34999999999644</v>
      </c>
      <c r="AI354" s="1060">
        <f t="shared" si="107"/>
        <v>107.24999999999645</v>
      </c>
      <c r="AJ354" s="1060">
        <f t="shared" si="107"/>
        <v>122.85000000000001</v>
      </c>
      <c r="AK354" s="1060">
        <f t="shared" si="109"/>
        <v>132.59999999999823</v>
      </c>
    </row>
    <row r="355" spans="8:8" ht="15.75" customHeight="1">
      <c r="D355" s="1049">
        <f t="shared" si="104"/>
        <v>0.9777777777778488</v>
      </c>
      <c r="E355" s="1050">
        <f>E$363*D355</f>
        <v>279.64444444446474</v>
      </c>
      <c r="F355" s="1050">
        <f t="shared" si="103"/>
        <v>295.2888888889103</v>
      </c>
      <c r="G355" s="1050">
        <f t="shared" si="103"/>
        <v>305.06666666668883</v>
      </c>
      <c r="H355" s="1051">
        <f t="shared" si="110"/>
        <v>260.0888888888881</v>
      </c>
      <c r="I355" s="1051">
        <f t="shared" si="110"/>
        <v>275.7333333333356</v>
      </c>
      <c r="J355" s="1051">
        <f t="shared" si="110"/>
        <v>285.51111111111186</v>
      </c>
      <c r="K355" s="1052">
        <f t="shared" si="110"/>
        <v>240.53333333333566</v>
      </c>
      <c r="L355" s="1052">
        <f t="shared" si="110"/>
        <v>256.1777777777762</v>
      </c>
      <c r="M355" s="1052">
        <f t="shared" si="110"/>
        <v>265.95555555555546</v>
      </c>
      <c r="N355" s="1053">
        <f t="shared" si="110"/>
        <v>176.0</v>
      </c>
      <c r="O355" s="1053">
        <f t="shared" si="110"/>
        <v>191.64444444444754</v>
      </c>
      <c r="P355" s="1053">
        <f t="shared" si="110"/>
        <v>201.42222222222378</v>
      </c>
      <c r="Q355" s="1054">
        <f t="shared" si="110"/>
        <v>166.22222222222376</v>
      </c>
      <c r="R355" s="1054">
        <f t="shared" si="110"/>
        <v>181.86666666666432</v>
      </c>
      <c r="S355" s="1054">
        <f t="shared" si="110"/>
        <v>191.64444444444754</v>
      </c>
      <c r="T355" s="1055">
        <f t="shared" si="110"/>
        <v>156.44444444444756</v>
      </c>
      <c r="U355" s="1055">
        <f t="shared" si="107"/>
        <v>172.0888888888881</v>
      </c>
      <c r="V355" s="1055">
        <f t="shared" si="107"/>
        <v>181.86666666666432</v>
      </c>
      <c r="W355" s="1056">
        <f t="shared" si="107"/>
        <v>146.66666666666436</v>
      </c>
      <c r="X355" s="1056">
        <f t="shared" si="107"/>
        <v>162.3111111111119</v>
      </c>
      <c r="Y355" s="1056">
        <f t="shared" si="107"/>
        <v>172.0888888888881</v>
      </c>
      <c r="Z355" s="1057">
        <f t="shared" si="107"/>
        <v>136.88888888888812</v>
      </c>
      <c r="AA355" s="1057">
        <f t="shared" si="107"/>
        <v>152.53333333333566</v>
      </c>
      <c r="AB355" s="1057">
        <f t="shared" si="107"/>
        <v>162.3111111111119</v>
      </c>
      <c r="AC355" s="1058">
        <f t="shared" si="107"/>
        <v>127.11111111111188</v>
      </c>
      <c r="AD355" s="1058">
        <f t="shared" si="107"/>
        <v>142.75555555555243</v>
      </c>
      <c r="AE355" s="1058">
        <f t="shared" si="107"/>
        <v>152.53333333333566</v>
      </c>
      <c r="AF355" s="1059">
        <f t="shared" si="107"/>
        <v>117.33333333333567</v>
      </c>
      <c r="AG355" s="1059">
        <f t="shared" si="107"/>
        <v>132.97777777777623</v>
      </c>
      <c r="AH355" s="1059">
        <f t="shared" si="107"/>
        <v>142.75555555555243</v>
      </c>
      <c r="AI355" s="1060">
        <f t="shared" si="107"/>
        <v>107.55555555555244</v>
      </c>
      <c r="AJ355" s="1060">
        <f t="shared" si="107"/>
        <v>123.2</v>
      </c>
      <c r="AK355" s="1060">
        <f t="shared" si="109"/>
        <v>132.97777777777623</v>
      </c>
    </row>
    <row r="356" spans="8:8" ht="15.75" customHeight="1">
      <c r="D356" s="1049">
        <f t="shared" si="104"/>
        <v>0.9805555555556268</v>
      </c>
      <c r="E356" s="1050">
        <f>E$363*D356</f>
        <v>280.4388888889093</v>
      </c>
      <c r="F356" s="1050">
        <f t="shared" si="103"/>
        <v>296.1277777777993</v>
      </c>
      <c r="G356" s="1050">
        <f t="shared" si="103"/>
        <v>305.93333333335556</v>
      </c>
      <c r="H356" s="1051">
        <f t="shared" si="110"/>
        <v>260.8277777777771</v>
      </c>
      <c r="I356" s="1051">
        <f t="shared" si="110"/>
        <v>276.51666666666864</v>
      </c>
      <c r="J356" s="1051">
        <f t="shared" si="110"/>
        <v>286.3222222222229</v>
      </c>
      <c r="K356" s="1052">
        <f t="shared" si="110"/>
        <v>241.21666666666866</v>
      </c>
      <c r="L356" s="1052">
        <f t="shared" si="110"/>
        <v>256.90555555555426</v>
      </c>
      <c r="M356" s="1052">
        <f t="shared" si="110"/>
        <v>266.7111111111105</v>
      </c>
      <c r="N356" s="1053">
        <f t="shared" si="110"/>
        <v>176.5</v>
      </c>
      <c r="O356" s="1053">
        <f t="shared" si="110"/>
        <v>192.18888888889154</v>
      </c>
      <c r="P356" s="1053">
        <f t="shared" si="110"/>
        <v>201.99444444444578</v>
      </c>
      <c r="Q356" s="1054">
        <f t="shared" si="110"/>
        <v>166.69444444444576</v>
      </c>
      <c r="R356" s="1054">
        <f t="shared" si="110"/>
        <v>182.3833333333313</v>
      </c>
      <c r="S356" s="1054">
        <f t="shared" si="110"/>
        <v>192.18888888889154</v>
      </c>
      <c r="T356" s="1055">
        <f t="shared" si="110"/>
        <v>156.88888888889153</v>
      </c>
      <c r="U356" s="1055">
        <f t="shared" si="107"/>
        <v>172.57777777777713</v>
      </c>
      <c r="V356" s="1055">
        <f t="shared" si="107"/>
        <v>182.3833333333313</v>
      </c>
      <c r="W356" s="1056">
        <f t="shared" si="107"/>
        <v>147.08333333333135</v>
      </c>
      <c r="X356" s="1056">
        <f t="shared" si="107"/>
        <v>162.7722222222229</v>
      </c>
      <c r="Y356" s="1056">
        <f t="shared" si="107"/>
        <v>172.57777777777713</v>
      </c>
      <c r="Z356" s="1057">
        <f t="shared" si="107"/>
        <v>137.27777777777712</v>
      </c>
      <c r="AA356" s="1057">
        <f t="shared" si="107"/>
        <v>152.96666666666866</v>
      </c>
      <c r="AB356" s="1057">
        <f t="shared" si="107"/>
        <v>162.7722222222229</v>
      </c>
      <c r="AC356" s="1058">
        <f t="shared" si="107"/>
        <v>127.47222222222288</v>
      </c>
      <c r="AD356" s="1058">
        <f t="shared" si="107"/>
        <v>143.16111111110843</v>
      </c>
      <c r="AE356" s="1058">
        <f t="shared" si="107"/>
        <v>152.96666666666866</v>
      </c>
      <c r="AF356" s="1059">
        <f t="shared" si="107"/>
        <v>117.66666666666868</v>
      </c>
      <c r="AG356" s="1059">
        <f t="shared" si="107"/>
        <v>133.35555555555425</v>
      </c>
      <c r="AH356" s="1059">
        <f t="shared" si="107"/>
        <v>143.16111111110843</v>
      </c>
      <c r="AI356" s="1060">
        <f t="shared" si="107"/>
        <v>107.86111111110844</v>
      </c>
      <c r="AJ356" s="1060">
        <f t="shared" si="107"/>
        <v>123.55000000000001</v>
      </c>
      <c r="AK356" s="1060">
        <f t="shared" si="109"/>
        <v>133.35555555555425</v>
      </c>
    </row>
    <row r="357" spans="8:8" ht="15.75" customHeight="1">
      <c r="D357" s="1049">
        <f t="shared" si="104"/>
        <v>0.9833333333334048</v>
      </c>
      <c r="E357" s="1050">
        <f t="shared" si="102"/>
        <v>281.23333333335376</v>
      </c>
      <c r="F357" s="1050">
        <f t="shared" si="103"/>
        <v>296.96666666668824</v>
      </c>
      <c r="G357" s="1050">
        <f t="shared" si="103"/>
        <v>306.8000000000223</v>
      </c>
      <c r="H357" s="1051">
        <f t="shared" si="110"/>
        <v>261.5666666666661</v>
      </c>
      <c r="I357" s="1051">
        <f t="shared" si="110"/>
        <v>277.30000000000166</v>
      </c>
      <c r="J357" s="1051">
        <f t="shared" si="110"/>
        <v>287.1333333333339</v>
      </c>
      <c r="K357" s="1052">
        <f t="shared" si="110"/>
        <v>241.90000000000165</v>
      </c>
      <c r="L357" s="1052">
        <f t="shared" si="110"/>
        <v>257.63333333333225</v>
      </c>
      <c r="M357" s="1052">
        <f t="shared" si="110"/>
        <v>267.46666666666647</v>
      </c>
      <c r="N357" s="1053">
        <f t="shared" si="110"/>
        <v>177.0</v>
      </c>
      <c r="O357" s="1053">
        <f t="shared" si="110"/>
        <v>192.73333333333554</v>
      </c>
      <c r="P357" s="1053">
        <f t="shared" si="110"/>
        <v>202.56666666666777</v>
      </c>
      <c r="Q357" s="1054">
        <f t="shared" si="110"/>
        <v>167.16666666666777</v>
      </c>
      <c r="R357" s="1054">
        <f t="shared" si="110"/>
        <v>182.89999999999833</v>
      </c>
      <c r="S357" s="1054">
        <f t="shared" si="110"/>
        <v>192.73333333333554</v>
      </c>
      <c r="T357" s="1055">
        <f t="shared" si="110"/>
        <v>157.33333333333553</v>
      </c>
      <c r="U357" s="1055">
        <f t="shared" si="107"/>
        <v>173.06666666666612</v>
      </c>
      <c r="V357" s="1055">
        <f t="shared" si="107"/>
        <v>182.89999999999833</v>
      </c>
      <c r="W357" s="1056">
        <f t="shared" si="107"/>
        <v>147.49999999999835</v>
      </c>
      <c r="X357" s="1056">
        <f t="shared" si="107"/>
        <v>163.2333333333339</v>
      </c>
      <c r="Y357" s="1056">
        <f t="shared" si="107"/>
        <v>173.06666666666612</v>
      </c>
      <c r="Z357" s="1057">
        <f t="shared" si="107"/>
        <v>137.66666666666612</v>
      </c>
      <c r="AA357" s="1057">
        <f t="shared" si="107"/>
        <v>153.40000000000165</v>
      </c>
      <c r="AB357" s="1057">
        <f t="shared" si="107"/>
        <v>163.2333333333339</v>
      </c>
      <c r="AC357" s="1058">
        <f t="shared" si="107"/>
        <v>127.83333333333388</v>
      </c>
      <c r="AD357" s="1058">
        <f t="shared" si="107"/>
        <v>143.56666666666445</v>
      </c>
      <c r="AE357" s="1058">
        <f t="shared" si="107"/>
        <v>153.40000000000165</v>
      </c>
      <c r="AF357" s="1059">
        <f t="shared" si="107"/>
        <v>118.00000000000168</v>
      </c>
      <c r="AG357" s="1059">
        <f t="shared" si="107"/>
        <v>133.73333333333224</v>
      </c>
      <c r="AH357" s="1059">
        <f t="shared" si="107"/>
        <v>143.56666666666445</v>
      </c>
      <c r="AI357" s="1060">
        <f t="shared" si="107"/>
        <v>108.16666666666444</v>
      </c>
      <c r="AJ357" s="1060">
        <f t="shared" si="107"/>
        <v>123.9</v>
      </c>
      <c r="AK357" s="1060">
        <f t="shared" si="109"/>
        <v>133.73333333333224</v>
      </c>
    </row>
    <row r="358" spans="8:8" ht="15.75" customHeight="1">
      <c r="D358" s="1049">
        <f t="shared" si="104"/>
        <v>0.9861111111111828</v>
      </c>
      <c r="E358" s="1050">
        <f t="shared" si="102"/>
        <v>282.0277777777983</v>
      </c>
      <c r="F358" s="1050">
        <f t="shared" si="103"/>
        <v>297.8055555555772</v>
      </c>
      <c r="G358" s="1050">
        <f t="shared" si="103"/>
        <v>307.666666666689</v>
      </c>
      <c r="H358" s="1051">
        <f t="shared" si="110"/>
        <v>262.30555555555515</v>
      </c>
      <c r="I358" s="1051">
        <f>I359-(I$363/360)</f>
        <v>278.0833333333346</v>
      </c>
      <c r="J358" s="1051">
        <f t="shared" si="110"/>
        <v>287.94444444444485</v>
      </c>
      <c r="K358" s="1052">
        <f t="shared" si="110"/>
        <v>242.58333333333465</v>
      </c>
      <c r="L358" s="1052">
        <f t="shared" si="110"/>
        <v>258.36111111111023</v>
      </c>
      <c r="M358" s="1052">
        <f t="shared" si="110"/>
        <v>268.22222222222246</v>
      </c>
      <c r="N358" s="1053">
        <f t="shared" si="110"/>
        <v>177.5</v>
      </c>
      <c r="O358" s="1053">
        <f t="shared" si="110"/>
        <v>193.27777777777956</v>
      </c>
      <c r="P358" s="1053">
        <f t="shared" si="110"/>
        <v>203.13888888888977</v>
      </c>
      <c r="Q358" s="1054">
        <f t="shared" si="110"/>
        <v>167.63888888888977</v>
      </c>
      <c r="R358" s="1054">
        <f t="shared" si="110"/>
        <v>183.41666666666532</v>
      </c>
      <c r="S358" s="1054">
        <f t="shared" si="110"/>
        <v>193.27777777777956</v>
      </c>
      <c r="T358" s="1055">
        <f t="shared" si="110"/>
        <v>157.77777777777953</v>
      </c>
      <c r="U358" s="1055">
        <f t="shared" si="107"/>
        <v>173.55555555555512</v>
      </c>
      <c r="V358" s="1055">
        <f t="shared" si="107"/>
        <v>183.41666666666532</v>
      </c>
      <c r="W358" s="1056">
        <f t="shared" si="107"/>
        <v>147.91666666666535</v>
      </c>
      <c r="X358" s="1056">
        <f t="shared" si="107"/>
        <v>163.69444444444488</v>
      </c>
      <c r="Y358" s="1056">
        <f t="shared" si="107"/>
        <v>173.55555555555512</v>
      </c>
      <c r="Z358" s="1057">
        <f t="shared" si="107"/>
        <v>138.05555555555512</v>
      </c>
      <c r="AA358" s="1057">
        <f t="shared" si="107"/>
        <v>153.83333333333465</v>
      </c>
      <c r="AB358" s="1057">
        <f t="shared" si="107"/>
        <v>163.69444444444488</v>
      </c>
      <c r="AC358" s="1058">
        <f t="shared" si="107"/>
        <v>128.19444444444488</v>
      </c>
      <c r="AD358" s="1058">
        <f t="shared" si="107"/>
        <v>143.97222222222044</v>
      </c>
      <c r="AE358" s="1058">
        <f t="shared" si="107"/>
        <v>153.83333333333465</v>
      </c>
      <c r="AF358" s="1059">
        <f t="shared" si="107"/>
        <v>118.33333333333466</v>
      </c>
      <c r="AG358" s="1059">
        <f t="shared" si="107"/>
        <v>134.11111111111023</v>
      </c>
      <c r="AH358" s="1059">
        <f t="shared" si="107"/>
        <v>143.97222222222044</v>
      </c>
      <c r="AI358" s="1060">
        <f t="shared" si="107"/>
        <v>108.47222222222044</v>
      </c>
      <c r="AJ358" s="1060">
        <f t="shared" si="107"/>
        <v>124.25</v>
      </c>
      <c r="AK358" s="1060">
        <f t="shared" si="109"/>
        <v>134.11111111111023</v>
      </c>
    </row>
    <row r="359" spans="8:8" ht="15.75" customHeight="1">
      <c r="D359" s="1049">
        <f t="shared" si="104"/>
        <v>0.9888888888889608</v>
      </c>
      <c r="E359" s="1050">
        <f t="shared" si="102"/>
        <v>282.8222222222428</v>
      </c>
      <c r="F359" s="1050">
        <f t="shared" si="103"/>
        <v>298.64444444446616</v>
      </c>
      <c r="G359" s="1050">
        <f t="shared" si="103"/>
        <v>308.53333333335576</v>
      </c>
      <c r="H359" s="1051">
        <f t="shared" si="110"/>
        <v>263.04444444444414</v>
      </c>
      <c r="I359" s="1051">
        <f t="shared" si="110"/>
        <v>278.86666666666764</v>
      </c>
      <c r="J359" s="1051">
        <f t="shared" si="110"/>
        <v>288.7555555555559</v>
      </c>
      <c r="K359" s="1052">
        <f t="shared" si="110"/>
        <v>243.26666666666767</v>
      </c>
      <c r="L359" s="1052">
        <f t="shared" si="110"/>
        <v>259.0888888888882</v>
      </c>
      <c r="M359" s="1052">
        <f t="shared" si="110"/>
        <v>268.9777777777775</v>
      </c>
      <c r="N359" s="1053">
        <f t="shared" si="110"/>
        <v>178.0</v>
      </c>
      <c r="O359" s="1053">
        <f t="shared" si="110"/>
        <v>193.82222222222356</v>
      </c>
      <c r="P359" s="1053">
        <f t="shared" si="110"/>
        <v>203.7111111111118</v>
      </c>
      <c r="Q359" s="1054">
        <f t="shared" si="110"/>
        <v>168.11111111111177</v>
      </c>
      <c r="R359" s="1054">
        <f t="shared" si="110"/>
        <v>183.9333333333323</v>
      </c>
      <c r="S359" s="1054">
        <f t="shared" si="110"/>
        <v>193.82222222222356</v>
      </c>
      <c r="T359" s="1055">
        <f t="shared" si="110"/>
        <v>158.22222222222354</v>
      </c>
      <c r="U359" s="1055">
        <f t="shared" si="107"/>
        <v>174.0444444444441</v>
      </c>
      <c r="V359" s="1055">
        <f t="shared" si="107"/>
        <v>183.9333333333323</v>
      </c>
      <c r="W359" s="1056">
        <f t="shared" si="107"/>
        <v>148.33333333333235</v>
      </c>
      <c r="X359" s="1056">
        <f t="shared" si="107"/>
        <v>164.15555555555588</v>
      </c>
      <c r="Y359" s="1056">
        <f t="shared" si="107"/>
        <v>174.0444444444441</v>
      </c>
      <c r="Z359" s="1057">
        <f t="shared" si="107"/>
        <v>138.44444444444412</v>
      </c>
      <c r="AA359" s="1057">
        <f t="shared" si="107"/>
        <v>154.26666666666767</v>
      </c>
      <c r="AB359" s="1057">
        <f t="shared" si="107"/>
        <v>164.15555555555588</v>
      </c>
      <c r="AC359" s="1058">
        <f t="shared" si="107"/>
        <v>128.55555555555588</v>
      </c>
      <c r="AD359" s="1058">
        <f t="shared" si="107"/>
        <v>144.37777777777643</v>
      </c>
      <c r="AE359" s="1058">
        <f t="shared" si="107"/>
        <v>154.26666666666767</v>
      </c>
      <c r="AF359" s="1059">
        <f t="shared" si="107"/>
        <v>118.66666666666767</v>
      </c>
      <c r="AG359" s="1059">
        <f t="shared" si="107"/>
        <v>134.48888888888823</v>
      </c>
      <c r="AH359" s="1059">
        <f t="shared" si="107"/>
        <v>144.37777777777643</v>
      </c>
      <c r="AI359" s="1060">
        <f t="shared" si="107"/>
        <v>108.77777777777645</v>
      </c>
      <c r="AJ359" s="1060">
        <f t="shared" si="107"/>
        <v>124.60000000000001</v>
      </c>
      <c r="AK359" s="1060">
        <f t="shared" si="109"/>
        <v>134.48888888888823</v>
      </c>
    </row>
    <row r="360" spans="8:8" ht="15.75" customHeight="1">
      <c r="D360" s="1049">
        <f>D359+0.2/72</f>
        <v>0.9916666666667387</v>
      </c>
      <c r="E360" s="1050">
        <f t="shared" si="102"/>
        <v>283.6166666666873</v>
      </c>
      <c r="F360" s="1050">
        <f t="shared" si="103"/>
        <v>299.4833333333551</v>
      </c>
      <c r="G360" s="1050">
        <f t="shared" si="103"/>
        <v>309.4000000000225</v>
      </c>
      <c r="H360" s="1051">
        <f t="shared" si="110"/>
        <v>263.78333333333313</v>
      </c>
      <c r="I360" s="1051">
        <f t="shared" si="110"/>
        <v>279.65000000000066</v>
      </c>
      <c r="J360" s="1051">
        <f t="shared" si="110"/>
        <v>289.5666666666669</v>
      </c>
      <c r="K360" s="1052">
        <f t="shared" si="110"/>
        <v>243.95000000000067</v>
      </c>
      <c r="L360" s="1052">
        <f t="shared" si="110"/>
        <v>259.81666666666626</v>
      </c>
      <c r="M360" s="1052">
        <f t="shared" si="110"/>
        <v>269.73333333333346</v>
      </c>
      <c r="N360" s="1053">
        <f t="shared" si="110"/>
        <v>178.5</v>
      </c>
      <c r="O360" s="1053">
        <f t="shared" si="110"/>
        <v>194.36666666666756</v>
      </c>
      <c r="P360" s="1053">
        <f t="shared" si="110"/>
        <v>204.2833333333338</v>
      </c>
      <c r="Q360" s="1054">
        <f t="shared" si="110"/>
        <v>168.58333333333377</v>
      </c>
      <c r="R360" s="1054">
        <f t="shared" si="110"/>
        <v>184.4499999999993</v>
      </c>
      <c r="S360" s="1054">
        <f t="shared" si="110"/>
        <v>194.36666666666756</v>
      </c>
      <c r="T360" s="1055">
        <f t="shared" si="110"/>
        <v>158.66666666666754</v>
      </c>
      <c r="U360" s="1055">
        <f t="shared" si="107"/>
        <v>174.53333333333313</v>
      </c>
      <c r="V360" s="1055">
        <f t="shared" si="107"/>
        <v>184.4499999999993</v>
      </c>
      <c r="W360" s="1056">
        <f t="shared" si="107"/>
        <v>148.74999999999935</v>
      </c>
      <c r="X360" s="1056">
        <f t="shared" si="107"/>
        <v>164.6166666666669</v>
      </c>
      <c r="Y360" s="1056">
        <f t="shared" si="107"/>
        <v>174.53333333333313</v>
      </c>
      <c r="Z360" s="1057">
        <f t="shared" si="107"/>
        <v>138.83333333333312</v>
      </c>
      <c r="AA360" s="1057">
        <f t="shared" si="107"/>
        <v>154.70000000000067</v>
      </c>
      <c r="AB360" s="1057">
        <f t="shared" si="107"/>
        <v>164.6166666666669</v>
      </c>
      <c r="AC360" s="1058">
        <f t="shared" si="107"/>
        <v>128.91666666666688</v>
      </c>
      <c r="AD360" s="1058">
        <f t="shared" si="107"/>
        <v>144.78333333333242</v>
      </c>
      <c r="AE360" s="1058">
        <f t="shared" si="107"/>
        <v>154.70000000000067</v>
      </c>
      <c r="AF360" s="1059">
        <f t="shared" si="107"/>
        <v>119.00000000000067</v>
      </c>
      <c r="AG360" s="1059">
        <f t="shared" si="107"/>
        <v>134.86666666666625</v>
      </c>
      <c r="AH360" s="1059">
        <f t="shared" si="107"/>
        <v>144.78333333333242</v>
      </c>
      <c r="AI360" s="1060">
        <f t="shared" si="107"/>
        <v>109.08333333333245</v>
      </c>
      <c r="AJ360" s="1060">
        <f t="shared" si="107"/>
        <v>124.95</v>
      </c>
      <c r="AK360" s="1060">
        <f t="shared" si="109"/>
        <v>134.86666666666625</v>
      </c>
    </row>
    <row r="361" spans="8:8" ht="15.75" customHeight="1">
      <c r="D361" s="1049">
        <f t="shared" si="104"/>
        <v>0.9944444444445167</v>
      </c>
      <c r="E361" s="1050">
        <f t="shared" si="102"/>
        <v>284.4111111111318</v>
      </c>
      <c r="F361" s="1050">
        <f t="shared" si="103"/>
        <v>300.3222222222441</v>
      </c>
      <c r="G361" s="1050">
        <f t="shared" si="103"/>
        <v>310.2666666666892</v>
      </c>
      <c r="H361" s="1051">
        <f t="shared" si="110"/>
        <v>264.5222222222221</v>
      </c>
      <c r="I361" s="1051">
        <f t="shared" si="110"/>
        <v>280.4333333333336</v>
      </c>
      <c r="J361" s="1051">
        <f t="shared" si="110"/>
        <v>290.37777777777785</v>
      </c>
      <c r="K361" s="1052">
        <f t="shared" si="110"/>
        <v>244.63333333333367</v>
      </c>
      <c r="L361" s="1052">
        <f t="shared" si="110"/>
        <v>260.54444444444425</v>
      </c>
      <c r="M361" s="1052">
        <f t="shared" si="110"/>
        <v>270.4888888888885</v>
      </c>
      <c r="N361" s="1053">
        <f t="shared" si="110"/>
        <v>179.0</v>
      </c>
      <c r="O361" s="1053">
        <f t="shared" si="110"/>
        <v>194.91111111111155</v>
      </c>
      <c r="P361" s="1053">
        <f t="shared" si="110"/>
        <v>204.85555555555578</v>
      </c>
      <c r="Q361" s="1054">
        <f t="shared" si="110"/>
        <v>169.05555555555577</v>
      </c>
      <c r="R361" s="1054">
        <f t="shared" si="110"/>
        <v>184.96666666666633</v>
      </c>
      <c r="S361" s="1054">
        <f t="shared" si="110"/>
        <v>194.91111111111155</v>
      </c>
      <c r="T361" s="1055">
        <f t="shared" si="110"/>
        <v>159.11111111111154</v>
      </c>
      <c r="U361" s="1055">
        <f t="shared" si="107"/>
        <v>175.02222222222213</v>
      </c>
      <c r="V361" s="1055">
        <f t="shared" si="107"/>
        <v>184.96666666666633</v>
      </c>
      <c r="W361" s="1056">
        <f t="shared" si="107"/>
        <v>149.16666666666634</v>
      </c>
      <c r="X361" s="1056">
        <f t="shared" si="111" ref="X361:AJ362">X362-(X$363/360)</f>
        <v>165.0777777777779</v>
      </c>
      <c r="Y361" s="1056">
        <f t="shared" si="111"/>
        <v>175.02222222222213</v>
      </c>
      <c r="Z361" s="1057">
        <f t="shared" si="111"/>
        <v>139.22222222222211</v>
      </c>
      <c r="AA361" s="1057">
        <f t="shared" si="111"/>
        <v>155.13333333333367</v>
      </c>
      <c r="AB361" s="1057">
        <f t="shared" si="111"/>
        <v>165.0777777777779</v>
      </c>
      <c r="AC361" s="1058">
        <f t="shared" si="111"/>
        <v>129.27777777777789</v>
      </c>
      <c r="AD361" s="1058">
        <f t="shared" si="111"/>
        <v>145.18888888888844</v>
      </c>
      <c r="AE361" s="1058">
        <f t="shared" si="111"/>
        <v>155.13333333333367</v>
      </c>
      <c r="AF361" s="1059">
        <f t="shared" si="111"/>
        <v>119.33333333333367</v>
      </c>
      <c r="AG361" s="1059">
        <f t="shared" si="111"/>
        <v>135.24444444444424</v>
      </c>
      <c r="AH361" s="1059">
        <f t="shared" si="111"/>
        <v>145.18888888888844</v>
      </c>
      <c r="AI361" s="1060">
        <f t="shared" si="111"/>
        <v>109.38888888888845</v>
      </c>
      <c r="AJ361" s="1060">
        <f t="shared" si="111"/>
        <v>125.30000000000001</v>
      </c>
      <c r="AK361" s="1060">
        <f t="shared" si="109"/>
        <v>135.24444444444424</v>
      </c>
    </row>
    <row r="362" spans="8:8" ht="15.75" customHeight="1">
      <c r="D362" s="1049">
        <f t="shared" si="104"/>
        <v>0.9972222222222947</v>
      </c>
      <c r="E362" s="1050">
        <f>E$363*$D362</f>
        <v>285.20555555557627</v>
      </c>
      <c r="F362" s="1050">
        <f>F$363*$D362</f>
        <v>301.161111111133</v>
      </c>
      <c r="G362" s="1050">
        <f>G$363*$D362</f>
        <v>311.13333333335595</v>
      </c>
      <c r="H362" s="1051">
        <f t="shared" si="110"/>
        <v>265.2611111111111</v>
      </c>
      <c r="I362" s="1051">
        <f t="shared" si="110"/>
        <v>281.21666666666664</v>
      </c>
      <c r="J362" s="1051">
        <f t="shared" si="110"/>
        <v>291.18888888888887</v>
      </c>
      <c r="K362" s="1052">
        <f t="shared" si="110"/>
        <v>245.31666666666666</v>
      </c>
      <c r="L362" s="1052">
        <f t="shared" si="110"/>
        <v>261.27222222222224</v>
      </c>
      <c r="M362" s="1052">
        <f t="shared" si="110"/>
        <v>271.24444444444447</v>
      </c>
      <c r="N362" s="1053">
        <f t="shared" si="110"/>
        <v>179.5</v>
      </c>
      <c r="O362" s="1053">
        <f t="shared" si="110"/>
        <v>195.45555555555555</v>
      </c>
      <c r="P362" s="1053">
        <f t="shared" si="110"/>
        <v>205.42777777777778</v>
      </c>
      <c r="Q362" s="1054">
        <f t="shared" si="110"/>
        <v>169.52777777777777</v>
      </c>
      <c r="R362" s="1054">
        <f t="shared" si="110"/>
        <v>185.48333333333332</v>
      </c>
      <c r="S362" s="1054">
        <f t="shared" si="110"/>
        <v>195.45555555555555</v>
      </c>
      <c r="T362" s="1055">
        <f t="shared" si="110"/>
        <v>159.55555555555554</v>
      </c>
      <c r="U362" s="1055">
        <f>U363-(U$363/360)</f>
        <v>175.51111111111112</v>
      </c>
      <c r="V362" s="1055">
        <f>V363-(V$363/360)</f>
        <v>185.48333333333332</v>
      </c>
      <c r="W362" s="1056">
        <f>W363-(W$363/360)</f>
        <v>149.58333333333334</v>
      </c>
      <c r="X362" s="1056">
        <f t="shared" si="111"/>
        <v>165.5388888888889</v>
      </c>
      <c r="Y362" s="1056">
        <f t="shared" si="111"/>
        <v>175.51111111111112</v>
      </c>
      <c r="Z362" s="1057">
        <f t="shared" si="111"/>
        <v>139.61111111111111</v>
      </c>
      <c r="AA362" s="1057">
        <f t="shared" si="111"/>
        <v>155.56666666666666</v>
      </c>
      <c r="AB362" s="1057">
        <f t="shared" si="111"/>
        <v>165.5388888888889</v>
      </c>
      <c r="AC362" s="1058">
        <f t="shared" si="111"/>
        <v>129.63888888888889</v>
      </c>
      <c r="AD362" s="1058">
        <f t="shared" si="111"/>
        <v>145.59444444444443</v>
      </c>
      <c r="AE362" s="1058">
        <f t="shared" si="111"/>
        <v>155.56666666666666</v>
      </c>
      <c r="AF362" s="1059">
        <f t="shared" si="111"/>
        <v>119.66666666666667</v>
      </c>
      <c r="AG362" s="1059">
        <f t="shared" si="111"/>
        <v>135.62222222222223</v>
      </c>
      <c r="AH362" s="1059">
        <f t="shared" si="111"/>
        <v>145.59444444444443</v>
      </c>
      <c r="AI362" s="1060">
        <f t="shared" si="111"/>
        <v>109.69444444444444</v>
      </c>
      <c r="AJ362" s="1060">
        <f t="shared" si="111"/>
        <v>125.65</v>
      </c>
      <c r="AK362" s="1060">
        <f t="shared" si="109"/>
        <v>135.62222222222223</v>
      </c>
    </row>
    <row r="363" spans="8:8" ht="15.75" customHeight="1">
      <c r="D363" s="1049">
        <f t="shared" si="104"/>
        <v>1.0000000000000728</v>
      </c>
      <c r="E363" s="1038">
        <f>B1</f>
        <v>286.0</v>
      </c>
      <c r="F363" s="1038">
        <f>E363+10+B3</f>
        <v>302.0</v>
      </c>
      <c r="G363" s="1038">
        <f>F363+10</f>
        <v>312.0</v>
      </c>
      <c r="H363" s="1039">
        <f t="shared" si="112" ref="H363:M363">E363-20</f>
        <v>266.0</v>
      </c>
      <c r="I363" s="1039">
        <f t="shared" si="112"/>
        <v>282.0</v>
      </c>
      <c r="J363" s="1039">
        <f t="shared" si="112"/>
        <v>292.0</v>
      </c>
      <c r="K363" s="1040">
        <f t="shared" si="112"/>
        <v>246.0</v>
      </c>
      <c r="L363" s="1040">
        <f t="shared" si="112"/>
        <v>262.0</v>
      </c>
      <c r="M363" s="1040">
        <f t="shared" si="112"/>
        <v>272.0</v>
      </c>
      <c r="N363" s="1041">
        <f>180+B2</f>
        <v>180.0</v>
      </c>
      <c r="O363" s="1041">
        <f>N363+B3+10</f>
        <v>196.0</v>
      </c>
      <c r="P363" s="1041">
        <f>O363+10</f>
        <v>206.0</v>
      </c>
      <c r="Q363" s="1042">
        <f>N363-10</f>
        <v>170.0</v>
      </c>
      <c r="R363" s="1042">
        <f>O363-10</f>
        <v>186.0</v>
      </c>
      <c r="S363" s="1042">
        <f>P363-10</f>
        <v>196.0</v>
      </c>
      <c r="T363" s="1043">
        <f>Q363-10</f>
        <v>160.0</v>
      </c>
      <c r="U363" s="1043">
        <f t="shared" si="113" ref="U363:AK363">R363-10</f>
        <v>176.0</v>
      </c>
      <c r="V363" s="1043">
        <f t="shared" si="113"/>
        <v>186.0</v>
      </c>
      <c r="W363" s="1044">
        <f t="shared" si="113"/>
        <v>150.0</v>
      </c>
      <c r="X363" s="1044">
        <f t="shared" si="113"/>
        <v>166.0</v>
      </c>
      <c r="Y363" s="1044">
        <f t="shared" si="113"/>
        <v>176.0</v>
      </c>
      <c r="Z363" s="1045">
        <f t="shared" si="113"/>
        <v>140.0</v>
      </c>
      <c r="AA363" s="1045">
        <f t="shared" si="113"/>
        <v>156.0</v>
      </c>
      <c r="AB363" s="1045">
        <f t="shared" si="113"/>
        <v>166.0</v>
      </c>
      <c r="AC363" s="1046">
        <f t="shared" si="113"/>
        <v>130.0</v>
      </c>
      <c r="AD363" s="1046">
        <f t="shared" si="113"/>
        <v>146.0</v>
      </c>
      <c r="AE363" s="1046">
        <f t="shared" si="113"/>
        <v>156.0</v>
      </c>
      <c r="AF363" s="1047">
        <f t="shared" si="113"/>
        <v>120.0</v>
      </c>
      <c r="AG363" s="1047">
        <f t="shared" si="113"/>
        <v>136.0</v>
      </c>
      <c r="AH363" s="1047">
        <f t="shared" si="113"/>
        <v>146.0</v>
      </c>
      <c r="AI363" s="1048">
        <f t="shared" si="113"/>
        <v>110.0</v>
      </c>
      <c r="AJ363" s="1048">
        <f t="shared" si="113"/>
        <v>126.0</v>
      </c>
      <c r="AK363" s="1048">
        <f t="shared" si="113"/>
        <v>136.0</v>
      </c>
    </row>
    <row r="364" spans="8:8" ht="15.75" customHeight="1">
      <c r="D364" s="1025" t="s">
        <v>3</v>
      </c>
      <c r="E364" s="1026" t="s">
        <v>47</v>
      </c>
      <c r="F364" s="1026"/>
      <c r="G364" s="1026"/>
      <c r="H364" s="1027" t="s">
        <v>48</v>
      </c>
      <c r="I364" s="1027"/>
      <c r="J364" s="1027"/>
      <c r="K364" s="1028" t="s">
        <v>49</v>
      </c>
      <c r="L364" s="1028"/>
      <c r="M364" s="1028"/>
      <c r="N364" s="1029" t="s">
        <v>50</v>
      </c>
      <c r="O364" s="1029"/>
      <c r="P364" s="1029"/>
      <c r="Q364" s="1030" t="s">
        <v>51</v>
      </c>
      <c r="R364" s="1030"/>
      <c r="S364" s="1030"/>
      <c r="T364" s="1031" t="s">
        <v>52</v>
      </c>
      <c r="U364" s="1031"/>
      <c r="V364" s="1031"/>
      <c r="W364" s="1032" t="s">
        <v>53</v>
      </c>
      <c r="X364" s="1032"/>
      <c r="Y364" s="1032"/>
      <c r="Z364" s="1033" t="s">
        <v>54</v>
      </c>
      <c r="AA364" s="1033"/>
      <c r="AB364" s="1033"/>
      <c r="AC364" s="1034" t="s">
        <v>55</v>
      </c>
      <c r="AD364" s="1034"/>
      <c r="AE364" s="1034"/>
      <c r="AF364" s="1035" t="s">
        <v>56</v>
      </c>
      <c r="AG364" s="1035"/>
      <c r="AH364" s="1035"/>
      <c r="AI364" s="1036" t="s">
        <v>57</v>
      </c>
      <c r="AJ364" s="1036"/>
      <c r="AK364" s="1036"/>
    </row>
    <row r="365" spans="8:8" ht="15.75" customHeight="1">
      <c r="D365" s="1037"/>
      <c r="E365" s="1038" t="s">
        <v>119</v>
      </c>
      <c r="F365" s="1038" t="s">
        <v>58</v>
      </c>
      <c r="G365" s="1038" t="s">
        <v>59</v>
      </c>
      <c r="H365" s="1039" t="s">
        <v>119</v>
      </c>
      <c r="I365" s="1039" t="s">
        <v>58</v>
      </c>
      <c r="J365" s="1039" t="s">
        <v>59</v>
      </c>
      <c r="K365" s="1040" t="s">
        <v>119</v>
      </c>
      <c r="L365" s="1040" t="s">
        <v>58</v>
      </c>
      <c r="M365" s="1040" t="s">
        <v>59</v>
      </c>
      <c r="N365" s="1041" t="s">
        <v>119</v>
      </c>
      <c r="O365" s="1041" t="s">
        <v>58</v>
      </c>
      <c r="P365" s="1041" t="s">
        <v>59</v>
      </c>
      <c r="Q365" s="1042" t="s">
        <v>119</v>
      </c>
      <c r="R365" s="1042" t="s">
        <v>58</v>
      </c>
      <c r="S365" s="1042" t="s">
        <v>59</v>
      </c>
      <c r="T365" s="1043" t="s">
        <v>119</v>
      </c>
      <c r="U365" s="1043" t="s">
        <v>58</v>
      </c>
      <c r="V365" s="1043" t="s">
        <v>59</v>
      </c>
      <c r="W365" s="1044" t="s">
        <v>119</v>
      </c>
      <c r="X365" s="1044" t="s">
        <v>58</v>
      </c>
      <c r="Y365" s="1044" t="s">
        <v>59</v>
      </c>
      <c r="Z365" s="1045" t="s">
        <v>119</v>
      </c>
      <c r="AA365" s="1045" t="s">
        <v>58</v>
      </c>
      <c r="AB365" s="1045" t="s">
        <v>59</v>
      </c>
      <c r="AC365" s="1046" t="s">
        <v>119</v>
      </c>
      <c r="AD365" s="1046" t="s">
        <v>58</v>
      </c>
      <c r="AE365" s="1046" t="s">
        <v>59</v>
      </c>
      <c r="AF365" s="1047" t="s">
        <v>119</v>
      </c>
      <c r="AG365" s="1047" t="s">
        <v>58</v>
      </c>
      <c r="AH365" s="1047" t="s">
        <v>59</v>
      </c>
      <c r="AI365" s="1048" t="s">
        <v>119</v>
      </c>
      <c r="AJ365" s="1048" t="s">
        <v>58</v>
      </c>
      <c r="AK365" s="1048" t="s">
        <v>59</v>
      </c>
    </row>
  </sheetData>
  <mergeCells count="22">
    <mergeCell ref="AI364:AK364"/>
    <mergeCell ref="H364:J364"/>
    <mergeCell ref="Q364:S364"/>
    <mergeCell ref="W364:Y364"/>
    <mergeCell ref="N364:P364"/>
    <mergeCell ref="T364:V364"/>
    <mergeCell ref="E1:G1"/>
    <mergeCell ref="Z1:AB1"/>
    <mergeCell ref="W1:Y1"/>
    <mergeCell ref="K1:M1"/>
    <mergeCell ref="E364:G364"/>
    <mergeCell ref="AF364:AH364"/>
    <mergeCell ref="K364:M364"/>
    <mergeCell ref="Z364:AB364"/>
    <mergeCell ref="AC364:AE364"/>
    <mergeCell ref="AC1:AE1"/>
    <mergeCell ref="H1:J1"/>
    <mergeCell ref="Q1:S1"/>
    <mergeCell ref="T1:V1"/>
    <mergeCell ref="N1:P1"/>
    <mergeCell ref="AF1:AH1"/>
    <mergeCell ref="AI1:AK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>
  <Application>Kingsoft Office</Application>
  <DocSecurity>0</DocSecurity>
  <ScaleCrop>0</ScaleCrop>
  <LinksUpToDate>0</LinksUpToDate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MyChoppeR</dc:creator>
  <cp:lastModifiedBy>MyChoppeR</cp:lastModifiedBy>
  <dcterms:created xsi:type="dcterms:W3CDTF">2012-12-12T00:44:00Z</dcterms:created>
  <dcterms:modified xsi:type="dcterms:W3CDTF">2021-04-16T08:16:14Z</dcterms:modified>
  <cp:category>MyChoppeR</cp:category>
</cp:coreProperties>
</file>